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man Sandhu\Desktop\"/>
    </mc:Choice>
  </mc:AlternateContent>
  <xr:revisionPtr revIDLastSave="0" documentId="8_{C08C3DE4-066A-4BC2-938B-ED30BB2F22DC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Startup Costs" sheetId="1" r:id="rId1"/>
    <sheet name="Funding Sources" sheetId="2" r:id="rId2"/>
    <sheet name="Income Statement Year 1" sheetId="3" r:id="rId3"/>
    <sheet name="Cash Flow Year 1" sheetId="7" r:id="rId4"/>
    <sheet name="Balance Sheet year 1" sheetId="9" r:id="rId5"/>
    <sheet name="Income Statement Year 2" sheetId="4" r:id="rId6"/>
    <sheet name="Cash Flow Year 2" sheetId="6" r:id="rId7"/>
    <sheet name="Balance Sheet year 2" sheetId="10" r:id="rId8"/>
    <sheet name="Income Statement Year 3" sheetId="5" r:id="rId9"/>
    <sheet name="Cash Flow Year 3" sheetId="8" r:id="rId10"/>
    <sheet name="Balance Sheet year 3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1" l="1"/>
  <c r="B7" i="11"/>
  <c r="B12" i="11" s="1"/>
  <c r="B4" i="8"/>
  <c r="B4" i="6"/>
  <c r="B12" i="6" s="1"/>
  <c r="D12" i="10"/>
  <c r="B7" i="10"/>
  <c r="B12" i="10" s="1"/>
  <c r="D12" i="9"/>
  <c r="B7" i="9"/>
  <c r="B12" i="9" s="1"/>
  <c r="M15" i="7"/>
  <c r="L15" i="7"/>
  <c r="K15" i="7"/>
  <c r="J15" i="7"/>
  <c r="I15" i="7"/>
  <c r="H15" i="7"/>
  <c r="G15" i="7"/>
  <c r="F15" i="7"/>
  <c r="E15" i="7"/>
  <c r="D15" i="7"/>
  <c r="C15" i="7"/>
  <c r="M7" i="7"/>
  <c r="L7" i="7"/>
  <c r="K7" i="7"/>
  <c r="J7" i="7"/>
  <c r="I7" i="7"/>
  <c r="H7" i="7"/>
  <c r="H10" i="7" s="1"/>
  <c r="H28" i="7" s="1"/>
  <c r="G7" i="7"/>
  <c r="G10" i="7" s="1"/>
  <c r="G28" i="7" s="1"/>
  <c r="F7" i="7"/>
  <c r="F10" i="7" s="1"/>
  <c r="F28" i="7" s="1"/>
  <c r="E7" i="7"/>
  <c r="D7" i="7"/>
  <c r="C7" i="7"/>
  <c r="B15" i="7"/>
  <c r="B17" i="7" s="1"/>
  <c r="B7" i="7"/>
  <c r="M24" i="8"/>
  <c r="L24" i="8"/>
  <c r="K24" i="8"/>
  <c r="J24" i="8"/>
  <c r="I24" i="8"/>
  <c r="H24" i="8"/>
  <c r="G24" i="8"/>
  <c r="F24" i="8"/>
  <c r="E24" i="8"/>
  <c r="D24" i="8"/>
  <c r="C24" i="8"/>
  <c r="B24" i="8"/>
  <c r="M24" i="6"/>
  <c r="L24" i="6"/>
  <c r="K24" i="6"/>
  <c r="J24" i="6"/>
  <c r="I24" i="6"/>
  <c r="I26" i="6" s="1"/>
  <c r="I29" i="6" s="1"/>
  <c r="H24" i="6"/>
  <c r="H26" i="6" s="1"/>
  <c r="H29" i="6" s="1"/>
  <c r="G24" i="6"/>
  <c r="F24" i="6"/>
  <c r="F26" i="6" s="1"/>
  <c r="F29" i="6" s="1"/>
  <c r="F31" i="6" s="1"/>
  <c r="E24" i="6"/>
  <c r="D24" i="6"/>
  <c r="C24" i="6"/>
  <c r="M26" i="6"/>
  <c r="M29" i="6" s="1"/>
  <c r="L26" i="6"/>
  <c r="L29" i="6" s="1"/>
  <c r="E26" i="6"/>
  <c r="E29" i="6" s="1"/>
  <c r="D26" i="6"/>
  <c r="D29" i="6" s="1"/>
  <c r="B24" i="6"/>
  <c r="M24" i="7"/>
  <c r="L24" i="7"/>
  <c r="K24" i="7"/>
  <c r="J24" i="7"/>
  <c r="I24" i="7"/>
  <c r="H24" i="7"/>
  <c r="G24" i="7"/>
  <c r="F24" i="7"/>
  <c r="E24" i="7"/>
  <c r="D24" i="7"/>
  <c r="C24" i="7"/>
  <c r="B24" i="7"/>
  <c r="L28" i="8"/>
  <c r="K28" i="8"/>
  <c r="M17" i="8"/>
  <c r="L17" i="8"/>
  <c r="K17" i="8"/>
  <c r="K26" i="8" s="1"/>
  <c r="K29" i="8" s="1"/>
  <c r="J17" i="8"/>
  <c r="J26" i="8" s="1"/>
  <c r="J29" i="8" s="1"/>
  <c r="I17" i="8"/>
  <c r="I26" i="8" s="1"/>
  <c r="I29" i="8" s="1"/>
  <c r="H17" i="8"/>
  <c r="G17" i="8"/>
  <c r="F17" i="8"/>
  <c r="E17" i="8"/>
  <c r="D17" i="8"/>
  <c r="C17" i="8"/>
  <c r="C26" i="8" s="1"/>
  <c r="C29" i="8" s="1"/>
  <c r="B17" i="8"/>
  <c r="B26" i="8" s="1"/>
  <c r="B29" i="8" s="1"/>
  <c r="M10" i="8"/>
  <c r="M28" i="8" s="1"/>
  <c r="L10" i="8"/>
  <c r="K10" i="8"/>
  <c r="J10" i="8"/>
  <c r="J28" i="8" s="1"/>
  <c r="I10" i="8"/>
  <c r="I28" i="8" s="1"/>
  <c r="H10" i="8"/>
  <c r="H28" i="8" s="1"/>
  <c r="G10" i="8"/>
  <c r="G28" i="8" s="1"/>
  <c r="F10" i="8"/>
  <c r="F28" i="8" s="1"/>
  <c r="E10" i="8"/>
  <c r="E28" i="8" s="1"/>
  <c r="D10" i="8"/>
  <c r="D28" i="8" s="1"/>
  <c r="C10" i="8"/>
  <c r="C28" i="8" s="1"/>
  <c r="B10" i="8"/>
  <c r="B28" i="8" s="1"/>
  <c r="G21" i="3"/>
  <c r="M17" i="7"/>
  <c r="L17" i="7"/>
  <c r="K17" i="7"/>
  <c r="J17" i="7"/>
  <c r="I17" i="7"/>
  <c r="H17" i="7"/>
  <c r="G17" i="7"/>
  <c r="F17" i="7"/>
  <c r="E17" i="7"/>
  <c r="D17" i="7"/>
  <c r="C17" i="7"/>
  <c r="M10" i="7"/>
  <c r="M28" i="7" s="1"/>
  <c r="L10" i="7"/>
  <c r="L28" i="7" s="1"/>
  <c r="K10" i="7"/>
  <c r="K28" i="7" s="1"/>
  <c r="J10" i="7"/>
  <c r="J28" i="7" s="1"/>
  <c r="I10" i="7"/>
  <c r="I28" i="7" s="1"/>
  <c r="E10" i="7"/>
  <c r="E28" i="7" s="1"/>
  <c r="D10" i="7"/>
  <c r="D28" i="7" s="1"/>
  <c r="C10" i="7"/>
  <c r="C28" i="7" s="1"/>
  <c r="B10" i="7"/>
  <c r="B28" i="7" s="1"/>
  <c r="F28" i="6"/>
  <c r="E28" i="6"/>
  <c r="C28" i="6"/>
  <c r="C26" i="6"/>
  <c r="C29" i="6" s="1"/>
  <c r="C31" i="6" s="1"/>
  <c r="M17" i="6"/>
  <c r="L17" i="6"/>
  <c r="K17" i="6"/>
  <c r="K26" i="6" s="1"/>
  <c r="K29" i="6" s="1"/>
  <c r="J17" i="6"/>
  <c r="J26" i="6" s="1"/>
  <c r="J29" i="6" s="1"/>
  <c r="I17" i="6"/>
  <c r="H17" i="6"/>
  <c r="G17" i="6"/>
  <c r="F17" i="6"/>
  <c r="E17" i="6"/>
  <c r="D17" i="6"/>
  <c r="C17" i="6"/>
  <c r="M10" i="6"/>
  <c r="M28" i="6" s="1"/>
  <c r="L10" i="6"/>
  <c r="L28" i="6" s="1"/>
  <c r="K10" i="6"/>
  <c r="K28" i="6" s="1"/>
  <c r="J10" i="6"/>
  <c r="J28" i="6" s="1"/>
  <c r="I10" i="6"/>
  <c r="I28" i="6" s="1"/>
  <c r="H10" i="6"/>
  <c r="H28" i="6" s="1"/>
  <c r="G10" i="6"/>
  <c r="G28" i="6" s="1"/>
  <c r="F10" i="6"/>
  <c r="E10" i="6"/>
  <c r="D10" i="6"/>
  <c r="D28" i="6" s="1"/>
  <c r="C10" i="6"/>
  <c r="B28" i="6"/>
  <c r="B26" i="6"/>
  <c r="B29" i="6" s="1"/>
  <c r="B17" i="6"/>
  <c r="B10" i="6"/>
  <c r="H26" i="8" l="1"/>
  <c r="H29" i="8" s="1"/>
  <c r="D26" i="8"/>
  <c r="D29" i="8" s="1"/>
  <c r="D31" i="8" s="1"/>
  <c r="L26" i="8"/>
  <c r="L29" i="8" s="1"/>
  <c r="L31" i="8" s="1"/>
  <c r="E26" i="8"/>
  <c r="E29" i="8" s="1"/>
  <c r="E31" i="8" s="1"/>
  <c r="M26" i="8"/>
  <c r="M29" i="8" s="1"/>
  <c r="M31" i="8" s="1"/>
  <c r="F26" i="8"/>
  <c r="F29" i="8" s="1"/>
  <c r="F31" i="8" s="1"/>
  <c r="G26" i="8"/>
  <c r="G29" i="8" s="1"/>
  <c r="G31" i="8" s="1"/>
  <c r="I31" i="8"/>
  <c r="C31" i="8"/>
  <c r="B31" i="8"/>
  <c r="J31" i="8"/>
  <c r="K31" i="8"/>
  <c r="H31" i="8"/>
  <c r="B12" i="8"/>
  <c r="J26" i="7"/>
  <c r="J29" i="7" s="1"/>
  <c r="J31" i="7" s="1"/>
  <c r="C26" i="7"/>
  <c r="C29" i="7" s="1"/>
  <c r="C31" i="7" s="1"/>
  <c r="L26" i="7"/>
  <c r="L29" i="7" s="1"/>
  <c r="L31" i="7" s="1"/>
  <c r="B26" i="7"/>
  <c r="B29" i="7" s="1"/>
  <c r="B31" i="7" s="1"/>
  <c r="K26" i="7"/>
  <c r="K29" i="7" s="1"/>
  <c r="K31" i="7" s="1"/>
  <c r="D26" i="7"/>
  <c r="D29" i="7" s="1"/>
  <c r="D31" i="7" s="1"/>
  <c r="E26" i="7"/>
  <c r="E29" i="7" s="1"/>
  <c r="E31" i="7" s="1"/>
  <c r="M26" i="7"/>
  <c r="M29" i="7" s="1"/>
  <c r="M31" i="7" s="1"/>
  <c r="G26" i="6"/>
  <c r="G29" i="6" s="1"/>
  <c r="G31" i="6" s="1"/>
  <c r="F26" i="7"/>
  <c r="F29" i="7" s="1"/>
  <c r="F31" i="7" s="1"/>
  <c r="H26" i="7"/>
  <c r="H29" i="7" s="1"/>
  <c r="H31" i="7" s="1"/>
  <c r="G26" i="7"/>
  <c r="G29" i="7" s="1"/>
  <c r="G31" i="7" s="1"/>
  <c r="I26" i="7"/>
  <c r="I29" i="7" s="1"/>
  <c r="I31" i="7" s="1"/>
  <c r="B12" i="7"/>
  <c r="M31" i="6"/>
  <c r="L31" i="6"/>
  <c r="K31" i="6"/>
  <c r="J31" i="6"/>
  <c r="I31" i="6"/>
  <c r="H31" i="6"/>
  <c r="E31" i="6"/>
  <c r="D31" i="6"/>
  <c r="B31" i="6"/>
  <c r="G6" i="3" l="1"/>
  <c r="G5" i="3"/>
  <c r="G7" i="3"/>
  <c r="F6" i="3"/>
  <c r="E6" i="3"/>
  <c r="N15" i="5"/>
  <c r="M7" i="5"/>
  <c r="M6" i="5"/>
  <c r="M5" i="5"/>
  <c r="L7" i="5"/>
  <c r="L6" i="5"/>
  <c r="L5" i="5"/>
  <c r="K7" i="5"/>
  <c r="K6" i="5"/>
  <c r="K5" i="5"/>
  <c r="J7" i="5"/>
  <c r="J6" i="5"/>
  <c r="J5" i="5"/>
  <c r="I7" i="5"/>
  <c r="I6" i="5"/>
  <c r="I5" i="5"/>
  <c r="H7" i="5"/>
  <c r="H6" i="5"/>
  <c r="H5" i="5"/>
  <c r="G7" i="5"/>
  <c r="G6" i="5"/>
  <c r="G5" i="5"/>
  <c r="F7" i="5"/>
  <c r="F6" i="5"/>
  <c r="F5" i="5"/>
  <c r="E7" i="5"/>
  <c r="E6" i="5"/>
  <c r="E5" i="5"/>
  <c r="D7" i="5"/>
  <c r="D6" i="5"/>
  <c r="D5" i="5"/>
  <c r="C7" i="5"/>
  <c r="C6" i="5"/>
  <c r="C5" i="5"/>
  <c r="B7" i="5"/>
  <c r="B6" i="5"/>
  <c r="B5" i="5"/>
  <c r="N15" i="4"/>
  <c r="N15" i="3"/>
  <c r="M7" i="4"/>
  <c r="M6" i="4"/>
  <c r="M5" i="4"/>
  <c r="L7" i="4"/>
  <c r="L6" i="4"/>
  <c r="L5" i="4"/>
  <c r="K7" i="4"/>
  <c r="K6" i="4"/>
  <c r="K5" i="4"/>
  <c r="J7" i="4"/>
  <c r="J6" i="4"/>
  <c r="J5" i="4"/>
  <c r="I7" i="4"/>
  <c r="I6" i="4"/>
  <c r="I5" i="4"/>
  <c r="H7" i="4"/>
  <c r="H6" i="4"/>
  <c r="H5" i="4"/>
  <c r="G7" i="4"/>
  <c r="G6" i="4"/>
  <c r="G5" i="4"/>
  <c r="F7" i="4"/>
  <c r="F6" i="4"/>
  <c r="F5" i="4"/>
  <c r="E7" i="4"/>
  <c r="E6" i="4"/>
  <c r="E5" i="4"/>
  <c r="D7" i="4"/>
  <c r="D6" i="4"/>
  <c r="D5" i="4"/>
  <c r="C7" i="4"/>
  <c r="C6" i="4"/>
  <c r="C5" i="4"/>
  <c r="B7" i="4"/>
  <c r="B6" i="4"/>
  <c r="B5" i="4"/>
  <c r="M20" i="5"/>
  <c r="M21" i="5" s="1"/>
  <c r="L20" i="5"/>
  <c r="L21" i="5" s="1"/>
  <c r="K20" i="5"/>
  <c r="K21" i="5" s="1"/>
  <c r="J20" i="5"/>
  <c r="J21" i="5" s="1"/>
  <c r="I20" i="5"/>
  <c r="I21" i="5" s="1"/>
  <c r="H20" i="5"/>
  <c r="H21" i="5" s="1"/>
  <c r="G20" i="5"/>
  <c r="G21" i="5" s="1"/>
  <c r="F20" i="5"/>
  <c r="F21" i="5" s="1"/>
  <c r="E20" i="5"/>
  <c r="E21" i="5" s="1"/>
  <c r="D20" i="5"/>
  <c r="D21" i="5" s="1"/>
  <c r="C20" i="5"/>
  <c r="C21" i="5" s="1"/>
  <c r="B20" i="5"/>
  <c r="B21" i="5" s="1"/>
  <c r="N18" i="5"/>
  <c r="N17" i="5"/>
  <c r="N16" i="5"/>
  <c r="M20" i="4"/>
  <c r="M21" i="4" s="1"/>
  <c r="L20" i="4"/>
  <c r="L21" i="4" s="1"/>
  <c r="K20" i="4"/>
  <c r="K21" i="4" s="1"/>
  <c r="J20" i="4"/>
  <c r="J21" i="4" s="1"/>
  <c r="I20" i="4"/>
  <c r="I21" i="4" s="1"/>
  <c r="H20" i="4"/>
  <c r="H21" i="4" s="1"/>
  <c r="G20" i="4"/>
  <c r="G21" i="4" s="1"/>
  <c r="F20" i="4"/>
  <c r="F21" i="4" s="1"/>
  <c r="E20" i="4"/>
  <c r="E21" i="4" s="1"/>
  <c r="D20" i="4"/>
  <c r="D21" i="4" s="1"/>
  <c r="C20" i="4"/>
  <c r="C21" i="4" s="1"/>
  <c r="B20" i="4"/>
  <c r="B21" i="4" s="1"/>
  <c r="N18" i="4"/>
  <c r="N17" i="4"/>
  <c r="N16" i="4"/>
  <c r="M7" i="3"/>
  <c r="M6" i="3"/>
  <c r="M5" i="3"/>
  <c r="L5" i="3"/>
  <c r="L7" i="3"/>
  <c r="L6" i="3"/>
  <c r="K7" i="3"/>
  <c r="K6" i="3"/>
  <c r="K5" i="3"/>
  <c r="J7" i="3"/>
  <c r="J6" i="3"/>
  <c r="J5" i="3"/>
  <c r="I6" i="3"/>
  <c r="I5" i="3"/>
  <c r="H7" i="3"/>
  <c r="H6" i="3"/>
  <c r="H5" i="3"/>
  <c r="F7" i="3"/>
  <c r="F5" i="3"/>
  <c r="E7" i="3"/>
  <c r="E5" i="3"/>
  <c r="D7" i="3"/>
  <c r="D6" i="3"/>
  <c r="D5" i="3"/>
  <c r="C7" i="3"/>
  <c r="C6" i="3"/>
  <c r="C5" i="3"/>
  <c r="B6" i="3"/>
  <c r="B5" i="3"/>
  <c r="B7" i="3"/>
  <c r="L9" i="5" l="1"/>
  <c r="L10" i="5" s="1"/>
  <c r="H9" i="5"/>
  <c r="H10" i="5" s="1"/>
  <c r="H12" i="5" s="1"/>
  <c r="H23" i="5" s="1"/>
  <c r="D9" i="5"/>
  <c r="D10" i="5" s="1"/>
  <c r="D12" i="5" s="1"/>
  <c r="D23" i="5" s="1"/>
  <c r="I9" i="4"/>
  <c r="I10" i="4" s="1"/>
  <c r="I12" i="4" s="1"/>
  <c r="I23" i="4" s="1"/>
  <c r="H9" i="4"/>
  <c r="H10" i="4" s="1"/>
  <c r="I9" i="5"/>
  <c r="I10" i="5" s="1"/>
  <c r="I12" i="5" s="1"/>
  <c r="I23" i="5" s="1"/>
  <c r="B9" i="5"/>
  <c r="B10" i="5" s="1"/>
  <c r="B12" i="5" s="1"/>
  <c r="B23" i="5" s="1"/>
  <c r="J9" i="5"/>
  <c r="J10" i="5" s="1"/>
  <c r="J12" i="5" s="1"/>
  <c r="J23" i="5" s="1"/>
  <c r="C9" i="5"/>
  <c r="C10" i="5" s="1"/>
  <c r="C12" i="5" s="1"/>
  <c r="C23" i="5" s="1"/>
  <c r="K9" i="5"/>
  <c r="K10" i="5" s="1"/>
  <c r="K12" i="5" s="1"/>
  <c r="K23" i="5" s="1"/>
  <c r="E9" i="5"/>
  <c r="E10" i="5" s="1"/>
  <c r="E12" i="5" s="1"/>
  <c r="E23" i="5" s="1"/>
  <c r="M9" i="5"/>
  <c r="M10" i="5" s="1"/>
  <c r="G9" i="5"/>
  <c r="G10" i="5" s="1"/>
  <c r="G12" i="5" s="1"/>
  <c r="G23" i="5" s="1"/>
  <c r="N21" i="5"/>
  <c r="N6" i="5"/>
  <c r="N7" i="5"/>
  <c r="F9" i="4"/>
  <c r="F10" i="4" s="1"/>
  <c r="F12" i="4" s="1"/>
  <c r="F23" i="4" s="1"/>
  <c r="B9" i="4"/>
  <c r="B10" i="4" s="1"/>
  <c r="G9" i="4"/>
  <c r="G10" i="4" s="1"/>
  <c r="G12" i="4" s="1"/>
  <c r="G23" i="4" s="1"/>
  <c r="J9" i="4"/>
  <c r="N7" i="4"/>
  <c r="C9" i="4"/>
  <c r="K9" i="4"/>
  <c r="K10" i="4" s="1"/>
  <c r="K12" i="4" s="1"/>
  <c r="K23" i="4" s="1"/>
  <c r="E9" i="4"/>
  <c r="E10" i="4" s="1"/>
  <c r="E12" i="4" s="1"/>
  <c r="E23" i="4" s="1"/>
  <c r="M9" i="4"/>
  <c r="M10" i="4" s="1"/>
  <c r="M12" i="4" s="1"/>
  <c r="M23" i="4" s="1"/>
  <c r="L9" i="4"/>
  <c r="L10" i="4" s="1"/>
  <c r="L12" i="4" s="1"/>
  <c r="L23" i="4" s="1"/>
  <c r="N5" i="4"/>
  <c r="D9" i="4"/>
  <c r="D10" i="4" s="1"/>
  <c r="D12" i="4" s="1"/>
  <c r="D23" i="4" s="1"/>
  <c r="F9" i="5"/>
  <c r="N5" i="5"/>
  <c r="N20" i="5"/>
  <c r="N21" i="4"/>
  <c r="N20" i="4"/>
  <c r="N6" i="4"/>
  <c r="L12" i="5" l="1"/>
  <c r="L23" i="5" s="1"/>
  <c r="L24" i="5" s="1"/>
  <c r="L25" i="5" s="1"/>
  <c r="L32" i="8" s="1"/>
  <c r="L33" i="8" s="1"/>
  <c r="M4" i="8" s="1"/>
  <c r="M12" i="8" s="1"/>
  <c r="J10" i="4"/>
  <c r="J12" i="4" s="1"/>
  <c r="J23" i="4" s="1"/>
  <c r="H12" i="4"/>
  <c r="H23" i="4" s="1"/>
  <c r="H24" i="4" s="1"/>
  <c r="M12" i="5"/>
  <c r="M23" i="5" s="1"/>
  <c r="H24" i="5"/>
  <c r="H25" i="5" s="1"/>
  <c r="H32" i="8" s="1"/>
  <c r="H33" i="8" s="1"/>
  <c r="I4" i="8" s="1"/>
  <c r="I12" i="8" s="1"/>
  <c r="N9" i="5"/>
  <c r="B12" i="4"/>
  <c r="B23" i="4" s="1"/>
  <c r="C10" i="4"/>
  <c r="C12" i="4" s="1"/>
  <c r="C23" i="4" s="1"/>
  <c r="C24" i="4" s="1"/>
  <c r="N9" i="4"/>
  <c r="N10" i="4" s="1"/>
  <c r="N12" i="4" s="1"/>
  <c r="K24" i="5"/>
  <c r="K25" i="5" s="1"/>
  <c r="K32" i="8" s="1"/>
  <c r="K33" i="8" s="1"/>
  <c r="L4" i="8" s="1"/>
  <c r="L12" i="8" s="1"/>
  <c r="D24" i="5"/>
  <c r="D25" i="5" s="1"/>
  <c r="D32" i="8" s="1"/>
  <c r="D33" i="8" s="1"/>
  <c r="E4" i="8" s="1"/>
  <c r="E12" i="8" s="1"/>
  <c r="F10" i="5"/>
  <c r="F12" i="5" s="1"/>
  <c r="F23" i="5" s="1"/>
  <c r="J24" i="5"/>
  <c r="J25" i="5" s="1"/>
  <c r="J32" i="8" s="1"/>
  <c r="J33" i="8" s="1"/>
  <c r="K4" i="8" s="1"/>
  <c r="K12" i="8" s="1"/>
  <c r="M24" i="5"/>
  <c r="M25" i="5" s="1"/>
  <c r="M32" i="8" s="1"/>
  <c r="M33" i="8" s="1"/>
  <c r="E24" i="5"/>
  <c r="E25" i="5" s="1"/>
  <c r="E32" i="8" s="1"/>
  <c r="E33" i="8" s="1"/>
  <c r="F4" i="8" s="1"/>
  <c r="F12" i="8" s="1"/>
  <c r="I24" i="5"/>
  <c r="I25" i="5" s="1"/>
  <c r="I32" i="8" s="1"/>
  <c r="I33" i="8" s="1"/>
  <c r="J4" i="8" s="1"/>
  <c r="J12" i="8" s="1"/>
  <c r="C24" i="5"/>
  <c r="C25" i="5" s="1"/>
  <c r="C32" i="8" s="1"/>
  <c r="C33" i="8" s="1"/>
  <c r="D4" i="8" s="1"/>
  <c r="D12" i="8" s="1"/>
  <c r="B24" i="5"/>
  <c r="B25" i="5" s="1"/>
  <c r="B32" i="8" s="1"/>
  <c r="B33" i="8" s="1"/>
  <c r="C4" i="8" s="1"/>
  <c r="C12" i="8" s="1"/>
  <c r="G24" i="5"/>
  <c r="G25" i="5"/>
  <c r="G32" i="8" s="1"/>
  <c r="G33" i="8" s="1"/>
  <c r="H4" i="8" s="1"/>
  <c r="H12" i="8" s="1"/>
  <c r="M24" i="4"/>
  <c r="M25" i="4" s="1"/>
  <c r="G24" i="4"/>
  <c r="G25" i="4" s="1"/>
  <c r="L24" i="4"/>
  <c r="L25" i="4" s="1"/>
  <c r="I24" i="4"/>
  <c r="I25" i="4" s="1"/>
  <c r="E24" i="4"/>
  <c r="E25" i="4" s="1"/>
  <c r="D24" i="4"/>
  <c r="D25" i="4" s="1"/>
  <c r="F24" i="4"/>
  <c r="F25" i="4" s="1"/>
  <c r="K24" i="4"/>
  <c r="K25" i="4" s="1"/>
  <c r="M32" i="6" l="1"/>
  <c r="M33" i="6" s="1"/>
  <c r="L32" i="6"/>
  <c r="L33" i="6" s="1"/>
  <c r="M4" i="6" s="1"/>
  <c r="M12" i="6" s="1"/>
  <c r="K32" i="6"/>
  <c r="K33" i="6" s="1"/>
  <c r="L4" i="6" s="1"/>
  <c r="L12" i="6" s="1"/>
  <c r="I32" i="6"/>
  <c r="I33" i="6" s="1"/>
  <c r="J4" i="6" s="1"/>
  <c r="J12" i="6" s="1"/>
  <c r="H25" i="4"/>
  <c r="G32" i="6"/>
  <c r="G33" i="6" s="1"/>
  <c r="H4" i="6" s="1"/>
  <c r="H12" i="6" s="1"/>
  <c r="F32" i="6"/>
  <c r="F33" i="6" s="1"/>
  <c r="G4" i="6" s="1"/>
  <c r="G12" i="6" s="1"/>
  <c r="E32" i="6"/>
  <c r="E33" i="6" s="1"/>
  <c r="F4" i="6" s="1"/>
  <c r="F12" i="6" s="1"/>
  <c r="D32" i="6"/>
  <c r="D33" i="6" s="1"/>
  <c r="E4" i="6" s="1"/>
  <c r="E12" i="6" s="1"/>
  <c r="N10" i="5"/>
  <c r="N12" i="5" s="1"/>
  <c r="J24" i="4"/>
  <c r="J25" i="4" s="1"/>
  <c r="N23" i="4"/>
  <c r="B24" i="4"/>
  <c r="B25" i="4" s="1"/>
  <c r="C25" i="4"/>
  <c r="F24" i="5"/>
  <c r="F25" i="5" s="1"/>
  <c r="N23" i="5"/>
  <c r="N25" i="5" l="1"/>
  <c r="F32" i="8"/>
  <c r="F33" i="8" s="1"/>
  <c r="G4" i="8" s="1"/>
  <c r="G12" i="8" s="1"/>
  <c r="J32" i="6"/>
  <c r="J33" i="6" s="1"/>
  <c r="K4" i="6" s="1"/>
  <c r="K12" i="6" s="1"/>
  <c r="H32" i="6"/>
  <c r="H33" i="6" s="1"/>
  <c r="I4" i="6" s="1"/>
  <c r="I12" i="6" s="1"/>
  <c r="C32" i="6"/>
  <c r="C33" i="6" s="1"/>
  <c r="D4" i="6" s="1"/>
  <c r="D12" i="6" s="1"/>
  <c r="B32" i="6"/>
  <c r="B33" i="6" s="1"/>
  <c r="C4" i="6" s="1"/>
  <c r="C12" i="6" s="1"/>
  <c r="N25" i="4"/>
  <c r="N24" i="4"/>
  <c r="N24" i="5"/>
  <c r="H9" i="3" l="1"/>
  <c r="M20" i="3"/>
  <c r="M21" i="3" s="1"/>
  <c r="L20" i="3"/>
  <c r="L21" i="3" s="1"/>
  <c r="K20" i="3"/>
  <c r="K21" i="3" s="1"/>
  <c r="J20" i="3"/>
  <c r="J21" i="3" s="1"/>
  <c r="I20" i="3"/>
  <c r="I21" i="3" s="1"/>
  <c r="H20" i="3"/>
  <c r="H21" i="3" s="1"/>
  <c r="G20" i="3"/>
  <c r="F20" i="3"/>
  <c r="F21" i="3" s="1"/>
  <c r="E20" i="3"/>
  <c r="E21" i="3" s="1"/>
  <c r="D20" i="3"/>
  <c r="D21" i="3" s="1"/>
  <c r="C20" i="3"/>
  <c r="C21" i="3" s="1"/>
  <c r="B20" i="3"/>
  <c r="B21" i="3" s="1"/>
  <c r="N18" i="3"/>
  <c r="N17" i="3"/>
  <c r="N16" i="3"/>
  <c r="I7" i="3"/>
  <c r="I9" i="3" s="1"/>
  <c r="J9" i="3"/>
  <c r="F9" i="3"/>
  <c r="B9" i="3"/>
  <c r="N21" i="3" l="1"/>
  <c r="C9" i="3"/>
  <c r="C10" i="3" s="1"/>
  <c r="C12" i="3" s="1"/>
  <c r="C23" i="3" s="1"/>
  <c r="K9" i="3"/>
  <c r="K10" i="3" s="1"/>
  <c r="K12" i="3" s="1"/>
  <c r="K23" i="3" s="1"/>
  <c r="D9" i="3"/>
  <c r="D10" i="3" s="1"/>
  <c r="L9" i="3"/>
  <c r="L10" i="3" s="1"/>
  <c r="L12" i="3" s="1"/>
  <c r="L23" i="3" s="1"/>
  <c r="E9" i="3"/>
  <c r="M9" i="3"/>
  <c r="M10" i="3" s="1"/>
  <c r="M12" i="3" s="1"/>
  <c r="M23" i="3" s="1"/>
  <c r="G9" i="3"/>
  <c r="G10" i="3" s="1"/>
  <c r="G12" i="3" s="1"/>
  <c r="G23" i="3" s="1"/>
  <c r="J10" i="3"/>
  <c r="J12" i="3" s="1"/>
  <c r="J23" i="3" s="1"/>
  <c r="I10" i="3"/>
  <c r="N20" i="3"/>
  <c r="B10" i="3"/>
  <c r="B12" i="3" s="1"/>
  <c r="B23" i="3" s="1"/>
  <c r="N5" i="3"/>
  <c r="N6" i="3"/>
  <c r="F10" i="3"/>
  <c r="F12" i="3" s="1"/>
  <c r="F23" i="3" s="1"/>
  <c r="H10" i="3"/>
  <c r="H12" i="3" s="1"/>
  <c r="H23" i="3" s="1"/>
  <c r="N7" i="3"/>
  <c r="J24" i="3" l="1"/>
  <c r="J25" i="3" s="1"/>
  <c r="J32" i="7" s="1"/>
  <c r="J33" i="7" s="1"/>
  <c r="K4" i="7" s="1"/>
  <c r="K12" i="7" s="1"/>
  <c r="M24" i="3"/>
  <c r="M25" i="3" s="1"/>
  <c r="M32" i="7" s="1"/>
  <c r="M33" i="7" s="1"/>
  <c r="C24" i="3"/>
  <c r="C25" i="3" s="1"/>
  <c r="C32" i="7" s="1"/>
  <c r="C33" i="7" s="1"/>
  <c r="D4" i="7" s="1"/>
  <c r="D12" i="7" s="1"/>
  <c r="H24" i="3"/>
  <c r="H25" i="3" s="1"/>
  <c r="H32" i="7" s="1"/>
  <c r="H33" i="7" s="1"/>
  <c r="I4" i="7" s="1"/>
  <c r="I12" i="7" s="1"/>
  <c r="F24" i="3"/>
  <c r="F25" i="3" s="1"/>
  <c r="F32" i="7" s="1"/>
  <c r="F33" i="7" s="1"/>
  <c r="G4" i="7" s="1"/>
  <c r="G12" i="7" s="1"/>
  <c r="B24" i="3"/>
  <c r="B25" i="3" s="1"/>
  <c r="B32" i="7" s="1"/>
  <c r="B33" i="7" s="1"/>
  <c r="C4" i="7" s="1"/>
  <c r="C12" i="7" s="1"/>
  <c r="L24" i="3"/>
  <c r="L25" i="3" s="1"/>
  <c r="L32" i="7" s="1"/>
  <c r="L33" i="7" s="1"/>
  <c r="M4" i="7" s="1"/>
  <c r="M12" i="7" s="1"/>
  <c r="K24" i="3"/>
  <c r="K25" i="3" s="1"/>
  <c r="K32" i="7" s="1"/>
  <c r="K33" i="7" s="1"/>
  <c r="L4" i="7" s="1"/>
  <c r="L12" i="7" s="1"/>
  <c r="G24" i="3"/>
  <c r="G25" i="3" s="1"/>
  <c r="G32" i="7" s="1"/>
  <c r="G33" i="7" s="1"/>
  <c r="H4" i="7" s="1"/>
  <c r="H12" i="7" s="1"/>
  <c r="N9" i="3"/>
  <c r="N10" i="3" s="1"/>
  <c r="N12" i="3" s="1"/>
  <c r="I12" i="3"/>
  <c r="I23" i="3" s="1"/>
  <c r="D12" i="3"/>
  <c r="D23" i="3" s="1"/>
  <c r="E10" i="3"/>
  <c r="E12" i="3" s="1"/>
  <c r="E23" i="3" s="1"/>
  <c r="D24" i="3" l="1"/>
  <c r="D25" i="3"/>
  <c r="D32" i="7" s="1"/>
  <c r="D33" i="7" s="1"/>
  <c r="E4" i="7" s="1"/>
  <c r="E12" i="7" s="1"/>
  <c r="I24" i="3"/>
  <c r="I25" i="3"/>
  <c r="I32" i="7" s="1"/>
  <c r="I33" i="7" s="1"/>
  <c r="J4" i="7" s="1"/>
  <c r="J12" i="7" s="1"/>
  <c r="E24" i="3"/>
  <c r="E25" i="3" s="1"/>
  <c r="E32" i="7" s="1"/>
  <c r="E33" i="7" s="1"/>
  <c r="F4" i="7" s="1"/>
  <c r="F12" i="7" s="1"/>
  <c r="N23" i="3"/>
  <c r="N24" i="3" l="1"/>
  <c r="N25" i="3"/>
</calcChain>
</file>

<file path=xl/sharedStrings.xml><?xml version="1.0" encoding="utf-8"?>
<sst xmlns="http://schemas.openxmlformats.org/spreadsheetml/2006/main" count="290" uniqueCount="105">
  <si>
    <t>Category</t>
  </si>
  <si>
    <t>Estimated Cost ($)</t>
  </si>
  <si>
    <t>Business Registration &amp; Licensing</t>
  </si>
  <si>
    <t>Legal &amp; Compliance Fees</t>
  </si>
  <si>
    <t>Insurance</t>
  </si>
  <si>
    <t>Website Development (Hosting, Domain, Design)</t>
  </si>
  <si>
    <t>E-commerce Platform Subscription</t>
  </si>
  <si>
    <t>Payment Gateway Setup</t>
  </si>
  <si>
    <t>Inventory Management Software</t>
  </si>
  <si>
    <t>Accounting Software</t>
  </si>
  <si>
    <t>Cybersecurity &amp; Data Protection</t>
  </si>
  <si>
    <t>Logo &amp; Branding Design</t>
  </si>
  <si>
    <t>Digital Marketing (SEO, Ads)</t>
  </si>
  <si>
    <t>Product Packaging &amp; Label Design</t>
  </si>
  <si>
    <t>Influencer Marketing &amp; Affiliate Programs</t>
  </si>
  <si>
    <t>Content Creation (Blogs, Photos, Videos)</t>
  </si>
  <si>
    <t>Initial Inventory Purchase</t>
  </si>
  <si>
    <t>Packaging Materials</t>
  </si>
  <si>
    <t>Storage/Warehouse Costs</t>
  </si>
  <si>
    <t>Order Fulfillment Services</t>
  </si>
  <si>
    <t>Shipping Carrier Accounts</t>
  </si>
  <si>
    <t>Returns &amp; Refund Handling Costs</t>
  </si>
  <si>
    <t>Customer Support Services</t>
  </si>
  <si>
    <t>Training &amp; Education</t>
  </si>
  <si>
    <t>Emergency Fund</t>
  </si>
  <si>
    <t>Funding Sources</t>
  </si>
  <si>
    <t>Amount ($)</t>
  </si>
  <si>
    <t>Owner Contributions</t>
  </si>
  <si>
    <t>Small Business Loan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</si>
  <si>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</si>
  <si>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</si>
  <si>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</si>
  <si>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</si>
  <si>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</si>
  <si>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</si>
  <si>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</si>
  <si>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</si>
  <si>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</si>
  <si>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</si>
  <si>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</si>
  <si>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</si>
  <si>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Annual Total</t>
  </si>
  <si>
    <t>Protein</t>
  </si>
  <si>
    <t>Creatine</t>
  </si>
  <si>
    <t>BCAA &amp; Pre Workout</t>
  </si>
  <si>
    <t>Revenue</t>
  </si>
  <si>
    <t>Protein Sales</t>
  </si>
  <si>
    <t>Creatine Sales</t>
  </si>
  <si>
    <t>BCAA &amp; Pre-Workout Sales</t>
  </si>
  <si>
    <t>Total Revenue</t>
  </si>
  <si>
    <t>COGS 30%</t>
  </si>
  <si>
    <t>Gross Profit</t>
  </si>
  <si>
    <t>Operating Expenses</t>
  </si>
  <si>
    <t>Wages</t>
  </si>
  <si>
    <t>Legal Fees</t>
  </si>
  <si>
    <t>Advertising</t>
  </si>
  <si>
    <t>Supplies</t>
  </si>
  <si>
    <t xml:space="preserve">Interest Expense </t>
  </si>
  <si>
    <t>Loans</t>
  </si>
  <si>
    <t>Net Income Before Tax</t>
  </si>
  <si>
    <t>Estimated Income Tax %</t>
  </si>
  <si>
    <t>Net Profit After Tax</t>
  </si>
  <si>
    <t>Total Operating Expenses</t>
  </si>
  <si>
    <t>Estimated Income Tax 15%</t>
  </si>
  <si>
    <t>Income Statement for year 1</t>
  </si>
  <si>
    <t>Income Statement for Year 2</t>
  </si>
  <si>
    <t>Income Statement for Year 3</t>
  </si>
  <si>
    <t>Cash on Hand (beginning of the month)</t>
  </si>
  <si>
    <t>Cash In</t>
  </si>
  <si>
    <t>Cash Sales</t>
  </si>
  <si>
    <t>Accounts Receivable</t>
  </si>
  <si>
    <t>Total Cash In</t>
  </si>
  <si>
    <t>Total Cash Available Before Cash Out</t>
  </si>
  <si>
    <t>Cash Out</t>
  </si>
  <si>
    <t>COGS</t>
  </si>
  <si>
    <t>Subtotal Cash Out</t>
  </si>
  <si>
    <t>Salaries and Wages</t>
  </si>
  <si>
    <t>Rent</t>
  </si>
  <si>
    <t>Office Supplies etc.</t>
  </si>
  <si>
    <t>Subtotal Operating Expenses</t>
  </si>
  <si>
    <t>Total Cash Out</t>
  </si>
  <si>
    <t>Net Changes in Cash</t>
  </si>
  <si>
    <t>Retained Earnings</t>
  </si>
  <si>
    <t>Ending Cash Balance</t>
  </si>
  <si>
    <t>CASH FLOW YEAR 2</t>
  </si>
  <si>
    <t>Total cash Inlays</t>
  </si>
  <si>
    <t>Total cash outlays</t>
  </si>
  <si>
    <t>CASH FLOW YEAR 1</t>
  </si>
  <si>
    <t>CASH FLOW YEAR 3</t>
  </si>
  <si>
    <t>Balance sheet at the end of Year 1</t>
  </si>
  <si>
    <t>Assets</t>
  </si>
  <si>
    <t>Amount</t>
  </si>
  <si>
    <t>Liabilities</t>
  </si>
  <si>
    <t>Current Assets:</t>
  </si>
  <si>
    <t>Cash</t>
  </si>
  <si>
    <t>Equity:</t>
  </si>
  <si>
    <t>Interest Paid</t>
  </si>
  <si>
    <t xml:space="preserve">Total Current Assets	</t>
  </si>
  <si>
    <t xml:space="preserve">Total Assets	</t>
  </si>
  <si>
    <t>Loan Payable</t>
  </si>
  <si>
    <t>Total Liabilities</t>
  </si>
  <si>
    <t>Total Liabilities &amp; Equity</t>
  </si>
  <si>
    <t>Owner Equity</t>
  </si>
  <si>
    <t>Balance sheet at the end of Year 3</t>
  </si>
  <si>
    <t>Balance sheet at the end of Year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</si>
</sst>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3" borderId="0" xfId="0" applyFill="1"/>
    <xf numFmtId="0" fontId="0" fillId="3" borderId="1" xfId="0" applyFill="1" applyBorder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2" fillId="0" borderId="1" xfId="0" applyFont="1" applyBorder="1"/>
    <xf numFmtId="0" fontId="0" fillId="0" borderId="9" xfId="0" applyFill="1" applyBorder="1"/>
    <xf numFmtId="0" fontId="1" fillId="5" borderId="1" xfId="0" applyFont="1" applyFill="1" applyBorder="1" applyAlignment="1">
      <alignment horizontal="center" vertical="top"/>
    </xf>
    <xf numFmtId="0" fontId="0" fillId="0" borderId="0" xfId="0" applyAlignment="1"/>
    <xf numFmtId="0" fontId="0" fillId="0" borderId="1" xfId="0" applyBorder="1" applyAlignment="1">
      <alignment vertical="center" wrapText="1"/>
    </xf>
    <xf numFmtId="0" fontId="1" fillId="0" borderId="1" xfId="0" applyFont="1" applyFill="1" applyBorder="1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workbookViewId="0">
      <selection sqref="A1:B24"/>
    </sheetView>
  </sheetViews>
  <sheetFormatPr defaultRowHeight="14.4" x14ac:dyDescent="0.3"/>
  <cols>
    <col min="1" max="1" width="40.88671875" bestFit="1" customWidth="1"/>
    <col min="2" max="2" width="16.33203125" bestFit="1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s="3" t="s">
        <v>2</v>
      </c>
      <c r="B2" s="16">
        <v>500</v>
      </c>
    </row>
    <row r="3" spans="1:2" x14ac:dyDescent="0.3">
      <c r="A3" s="3" t="s">
        <v>3</v>
      </c>
      <c r="B3" s="16">
        <v>1000</v>
      </c>
    </row>
    <row r="4" spans="1:2" x14ac:dyDescent="0.3">
      <c r="A4" s="3" t="s">
        <v>4</v>
      </c>
      <c r="B4" s="16">
        <v>500</v>
      </c>
    </row>
    <row r="5" spans="1:2" x14ac:dyDescent="0.3">
      <c r="A5" s="3" t="s">
        <v>5</v>
      </c>
      <c r="B5" s="16">
        <v>1500</v>
      </c>
    </row>
    <row r="6" spans="1:2" x14ac:dyDescent="0.3">
      <c r="A6" s="3" t="s">
        <v>6</v>
      </c>
      <c r="B6" s="16">
        <v>500</v>
      </c>
    </row>
    <row r="7" spans="1:2" x14ac:dyDescent="0.3">
      <c r="A7" s="3" t="s">
        <v>7</v>
      </c>
      <c r="B7" s="16">
        <v>300</v>
      </c>
    </row>
    <row r="8" spans="1:2" x14ac:dyDescent="0.3">
      <c r="A8" s="3" t="s">
        <v>8</v>
      </c>
      <c r="B8" s="16">
        <v>200</v>
      </c>
    </row>
    <row r="9" spans="1:2" x14ac:dyDescent="0.3">
      <c r="A9" s="3" t="s">
        <v>9</v>
      </c>
      <c r="B9" s="16">
        <v>300</v>
      </c>
    </row>
    <row r="10" spans="1:2" x14ac:dyDescent="0.3">
      <c r="A10" s="3" t="s">
        <v>10</v>
      </c>
      <c r="B10" s="16">
        <v>300</v>
      </c>
    </row>
    <row r="11" spans="1:2" x14ac:dyDescent="0.3">
      <c r="A11" s="3" t="s">
        <v>11</v>
      </c>
      <c r="B11" s="16">
        <v>800</v>
      </c>
    </row>
    <row r="12" spans="1:2" x14ac:dyDescent="0.3">
      <c r="A12" s="3" t="s">
        <v>12</v>
      </c>
      <c r="B12" s="16">
        <v>2500</v>
      </c>
    </row>
    <row r="13" spans="1:2" x14ac:dyDescent="0.3">
      <c r="A13" s="3" t="s">
        <v>13</v>
      </c>
      <c r="B13" s="16">
        <v>1000</v>
      </c>
    </row>
    <row r="14" spans="1:2" x14ac:dyDescent="0.3">
      <c r="A14" s="3" t="s">
        <v>14</v>
      </c>
      <c r="B14" s="16">
        <v>1500</v>
      </c>
    </row>
    <row r="15" spans="1:2" x14ac:dyDescent="0.3">
      <c r="A15" s="3" t="s">
        <v>15</v>
      </c>
      <c r="B15" s="16">
        <v>1000</v>
      </c>
    </row>
    <row r="16" spans="1:2" x14ac:dyDescent="0.3">
      <c r="A16" s="3" t="s">
        <v>16</v>
      </c>
      <c r="B16" s="16">
        <v>5000</v>
      </c>
    </row>
    <row r="17" spans="1:2" x14ac:dyDescent="0.3">
      <c r="A17" s="3" t="s">
        <v>17</v>
      </c>
      <c r="B17" s="16">
        <v>700</v>
      </c>
    </row>
    <row r="18" spans="1:2" x14ac:dyDescent="0.3">
      <c r="A18" s="3" t="s">
        <v>18</v>
      </c>
      <c r="B18" s="16">
        <v>1000</v>
      </c>
    </row>
    <row r="19" spans="1:2" x14ac:dyDescent="0.3">
      <c r="A19" s="3" t="s">
        <v>19</v>
      </c>
      <c r="B19" s="16">
        <v>1200</v>
      </c>
    </row>
    <row r="20" spans="1:2" x14ac:dyDescent="0.3">
      <c r="A20" s="3" t="s">
        <v>20</v>
      </c>
      <c r="B20" s="16">
        <v>500</v>
      </c>
    </row>
    <row r="21" spans="1:2" x14ac:dyDescent="0.3">
      <c r="A21" s="3" t="s">
        <v>21</v>
      </c>
      <c r="B21" s="16">
        <v>300</v>
      </c>
    </row>
    <row r="22" spans="1:2" x14ac:dyDescent="0.3">
      <c r="A22" s="3" t="s">
        <v>22</v>
      </c>
      <c r="B22" s="16">
        <v>800</v>
      </c>
    </row>
    <row r="23" spans="1:2" x14ac:dyDescent="0.3">
      <c r="A23" s="3" t="s">
        <v>23</v>
      </c>
      <c r="B23" s="16">
        <v>500</v>
      </c>
    </row>
    <row r="24" spans="1:2" x14ac:dyDescent="0.3">
      <c r="A24" s="3" t="s">
        <v>24</v>
      </c>
      <c r="B24" s="16">
        <v>1000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722B-9827-4481-9DA0-90EC494FE7EF}">
  <dimension ref="A1:N34"/>
  <sheetViews>
    <sheetView workbookViewId="0">
      <selection activeCell="F19" sqref="F19"/>
    </sheetView>
  </sheetViews>
  <sheetFormatPr defaultRowHeight="14.4" x14ac:dyDescent="0.3"/>
  <cols>
    <col min="1" max="1" width="34.88671875" bestFit="1" customWidth="1"/>
  </cols>
  <sheetData>
    <row r="1" spans="1:14" ht="15" thickBot="1" x14ac:dyDescent="0.35">
      <c r="D1" s="21" t="s">
        <v>88</v>
      </c>
      <c r="E1" s="22"/>
      <c r="F1" s="22"/>
      <c r="G1" s="22"/>
      <c r="H1" s="23"/>
    </row>
    <row r="3" spans="1:14" x14ac:dyDescent="0.3">
      <c r="A3" s="28" t="s">
        <v>0</v>
      </c>
      <c r="B3" s="28" t="s">
        <v>29</v>
      </c>
      <c r="C3" s="28" t="s">
        <v>30</v>
      </c>
      <c r="D3" s="28" t="s">
        <v>31</v>
      </c>
      <c r="E3" s="28" t="s">
        <v>32</v>
      </c>
      <c r="F3" s="28" t="s">
        <v>33</v>
      </c>
      <c r="G3" s="28" t="s">
        <v>34</v>
      </c>
      <c r="H3" s="28" t="s">
        <v>35</v>
      </c>
      <c r="I3" s="28" t="s">
        <v>36</v>
      </c>
      <c r="J3" s="28" t="s">
        <v>37</v>
      </c>
      <c r="K3" s="28" t="s">
        <v>38</v>
      </c>
      <c r="L3" s="28" t="s">
        <v>39</v>
      </c>
      <c r="M3" s="28" t="s">
        <v>40</v>
      </c>
    </row>
    <row r="4" spans="1:14" x14ac:dyDescent="0.3">
      <c r="A4" s="25" t="s">
        <v>67</v>
      </c>
      <c r="B4" s="3">
        <f>'Cash Flow Year 2'!M33</f>
        <v>292.06684999999925</v>
      </c>
      <c r="C4" s="3">
        <f>B33</f>
        <v>1240.5219000000002</v>
      </c>
      <c r="D4" s="3">
        <f>C33</f>
        <v>628.71244999999999</v>
      </c>
      <c r="E4" s="3">
        <f>D33</f>
        <v>501.64775000000009</v>
      </c>
      <c r="F4" s="3">
        <f>E33</f>
        <v>384.22190000000046</v>
      </c>
      <c r="G4" s="3">
        <f>F33</f>
        <v>353.1697999999983</v>
      </c>
      <c r="H4" s="3">
        <f>G33</f>
        <v>226.4405999999999</v>
      </c>
      <c r="I4" s="3">
        <f>H33</f>
        <v>314.61750000000029</v>
      </c>
      <c r="J4" s="3">
        <f>I33</f>
        <v>347.90004999999974</v>
      </c>
      <c r="K4" s="3">
        <f>J33</f>
        <v>348.80089999999836</v>
      </c>
      <c r="L4" s="3">
        <f>K33</f>
        <v>406.29460000000017</v>
      </c>
      <c r="M4" s="3">
        <f>L33</f>
        <v>413.7510999999995</v>
      </c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x14ac:dyDescent="0.3">
      <c r="A6" s="25" t="s">
        <v>68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 x14ac:dyDescent="0.3">
      <c r="A7" s="3" t="s">
        <v>69</v>
      </c>
      <c r="B7" s="3">
        <v>13078.78</v>
      </c>
      <c r="C7" s="3">
        <v>14428.69</v>
      </c>
      <c r="D7" s="3">
        <v>15728.55</v>
      </c>
      <c r="E7" s="3">
        <v>13623.78</v>
      </c>
      <c r="F7" s="3">
        <v>13758.76</v>
      </c>
      <c r="G7" s="3">
        <v>13528.72</v>
      </c>
      <c r="H7" s="3">
        <v>15513.5</v>
      </c>
      <c r="I7" s="3">
        <v>12393.81</v>
      </c>
      <c r="J7" s="3">
        <v>15058.58</v>
      </c>
      <c r="K7" s="3">
        <v>15703.52</v>
      </c>
      <c r="L7" s="3">
        <v>13958.82</v>
      </c>
      <c r="M7" s="3">
        <v>13658.84</v>
      </c>
    </row>
    <row r="8" spans="1:14" x14ac:dyDescent="0.3">
      <c r="A8" s="3" t="s">
        <v>70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</row>
    <row r="9" spans="1:14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4" x14ac:dyDescent="0.3">
      <c r="A10" s="25" t="s">
        <v>71</v>
      </c>
      <c r="B10" s="3">
        <f>B7+B8</f>
        <v>13078.78</v>
      </c>
      <c r="C10" s="3">
        <f>C7+C8</f>
        <v>14428.69</v>
      </c>
      <c r="D10" s="3">
        <f>D7+D8</f>
        <v>15728.55</v>
      </c>
      <c r="E10" s="3">
        <f>E7+E8</f>
        <v>13623.78</v>
      </c>
      <c r="F10" s="3">
        <f>F7+F8</f>
        <v>13758.76</v>
      </c>
      <c r="G10" s="3">
        <f>G7+G8</f>
        <v>13528.72</v>
      </c>
      <c r="H10" s="3">
        <f>H7+H8</f>
        <v>15513.5</v>
      </c>
      <c r="I10" s="3">
        <f>I7+I8</f>
        <v>12393.81</v>
      </c>
      <c r="J10" s="3">
        <f>J7+J8</f>
        <v>15058.58</v>
      </c>
      <c r="K10" s="3">
        <f>K7+K8</f>
        <v>15703.52</v>
      </c>
      <c r="L10" s="3">
        <f>L7+L8</f>
        <v>13958.82</v>
      </c>
      <c r="M10" s="3">
        <f>M7+M8</f>
        <v>13658.84</v>
      </c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4" x14ac:dyDescent="0.3">
      <c r="A12" s="25" t="s">
        <v>72</v>
      </c>
      <c r="B12" s="3">
        <f>B4+B10</f>
        <v>13370.84685</v>
      </c>
      <c r="C12" s="3">
        <f>C4+C10</f>
        <v>15669.2119</v>
      </c>
      <c r="D12" s="3">
        <f>D4+D10</f>
        <v>16357.262449999998</v>
      </c>
      <c r="E12" s="3">
        <f>E4+E10</f>
        <v>14125.427750000001</v>
      </c>
      <c r="F12" s="3">
        <f>F4+F10</f>
        <v>14142.981900000001</v>
      </c>
      <c r="G12" s="3">
        <f>G4+G10</f>
        <v>13881.889799999997</v>
      </c>
      <c r="H12" s="3">
        <f>H4+H10</f>
        <v>15739.9406</v>
      </c>
      <c r="I12" s="3">
        <f>I4+I10</f>
        <v>12708.4275</v>
      </c>
      <c r="J12" s="3">
        <f>J4+J10</f>
        <v>15406.48005</v>
      </c>
      <c r="K12" s="3">
        <f>K4+K10</f>
        <v>16052.320899999999</v>
      </c>
      <c r="L12" s="3">
        <f>L4+L10</f>
        <v>14365.114600000001</v>
      </c>
      <c r="M12" s="3">
        <f>M4+M10</f>
        <v>14072.5911</v>
      </c>
    </row>
    <row r="13" spans="1:14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4" x14ac:dyDescent="0.3">
      <c r="A14" s="25" t="s">
        <v>73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4" x14ac:dyDescent="0.3">
      <c r="A15" s="3" t="s">
        <v>74</v>
      </c>
      <c r="B15" s="3">
        <v>3923.634</v>
      </c>
      <c r="C15" s="3">
        <v>4328.607</v>
      </c>
      <c r="D15" s="3">
        <v>4718.5649999999996</v>
      </c>
      <c r="E15" s="3">
        <v>4087.134</v>
      </c>
      <c r="F15" s="3">
        <v>4127.6279999999997</v>
      </c>
      <c r="G15" s="3">
        <v>4058.616</v>
      </c>
      <c r="H15" s="3">
        <v>4654.05</v>
      </c>
      <c r="I15" s="3">
        <v>3718.143</v>
      </c>
      <c r="J15" s="3">
        <v>4517.5739999999996</v>
      </c>
      <c r="K15" s="3">
        <v>4711.0559999999996</v>
      </c>
      <c r="L15" s="3">
        <v>4187.6459999999997</v>
      </c>
      <c r="M15" s="3">
        <v>4097.652</v>
      </c>
      <c r="N15" s="27"/>
    </row>
    <row r="16" spans="1:14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">
      <c r="A17" s="26" t="s">
        <v>75</v>
      </c>
      <c r="B17" s="3">
        <f>B15+B16</f>
        <v>3923.634</v>
      </c>
      <c r="C17" s="3">
        <f>C15+C16</f>
        <v>4328.607</v>
      </c>
      <c r="D17" s="3">
        <f>D15+D16</f>
        <v>4718.5649999999996</v>
      </c>
      <c r="E17" s="3">
        <f>E15+E16</f>
        <v>4087.134</v>
      </c>
      <c r="F17" s="3">
        <f>F15+F16</f>
        <v>4127.6279999999997</v>
      </c>
      <c r="G17" s="3">
        <f>G15+G16</f>
        <v>4058.616</v>
      </c>
      <c r="H17" s="3">
        <f>H15+H16</f>
        <v>4654.05</v>
      </c>
      <c r="I17" s="3">
        <f>I15+I16</f>
        <v>3718.143</v>
      </c>
      <c r="J17" s="3">
        <f>J15+J16</f>
        <v>4517.5739999999996</v>
      </c>
      <c r="K17" s="3">
        <f>K15+K16</f>
        <v>4711.0559999999996</v>
      </c>
      <c r="L17" s="3">
        <f>L15+L16</f>
        <v>4187.6459999999997</v>
      </c>
      <c r="M17" s="3">
        <f>M15+M16</f>
        <v>4097.652</v>
      </c>
    </row>
    <row r="18" spans="1:13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">
      <c r="A19" s="25" t="s">
        <v>52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">
      <c r="A20" s="3" t="s">
        <v>76</v>
      </c>
      <c r="B20" s="3">
        <v>375</v>
      </c>
      <c r="C20" s="3">
        <v>375</v>
      </c>
      <c r="D20" s="3">
        <v>375</v>
      </c>
      <c r="E20" s="3">
        <v>375</v>
      </c>
      <c r="F20" s="3">
        <v>375</v>
      </c>
      <c r="G20" s="3">
        <v>375</v>
      </c>
      <c r="H20" s="3">
        <v>375</v>
      </c>
      <c r="I20" s="3">
        <v>375</v>
      </c>
      <c r="J20" s="3">
        <v>375</v>
      </c>
      <c r="K20" s="3">
        <v>375</v>
      </c>
      <c r="L20" s="3">
        <v>375</v>
      </c>
      <c r="M20" s="3">
        <v>375</v>
      </c>
    </row>
    <row r="21" spans="1:13" x14ac:dyDescent="0.3">
      <c r="A21" s="3" t="s">
        <v>77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</row>
    <row r="22" spans="1:13" x14ac:dyDescent="0.3">
      <c r="A22" s="3" t="s">
        <v>78</v>
      </c>
      <c r="B22" s="3">
        <v>3500</v>
      </c>
      <c r="C22" s="3">
        <v>2500</v>
      </c>
      <c r="D22" s="3">
        <v>3900</v>
      </c>
      <c r="E22" s="3">
        <v>3745</v>
      </c>
      <c r="F22" s="3">
        <v>4225</v>
      </c>
      <c r="G22" s="3">
        <v>4175</v>
      </c>
      <c r="H22" s="3">
        <v>4560</v>
      </c>
      <c r="I22" s="3">
        <v>3265</v>
      </c>
      <c r="J22" s="3">
        <v>4450</v>
      </c>
      <c r="K22" s="3">
        <v>4300</v>
      </c>
      <c r="L22" s="3">
        <v>4100</v>
      </c>
      <c r="M22" s="3">
        <v>4025</v>
      </c>
    </row>
    <row r="23" spans="1:13" x14ac:dyDescent="0.3">
      <c r="A23" s="3" t="s">
        <v>96</v>
      </c>
      <c r="B23" s="3">
        <v>750</v>
      </c>
      <c r="C23" s="3">
        <v>750</v>
      </c>
      <c r="D23" s="3">
        <v>750</v>
      </c>
      <c r="E23" s="3">
        <v>750</v>
      </c>
      <c r="F23" s="3">
        <v>750</v>
      </c>
      <c r="G23" s="3">
        <v>750</v>
      </c>
      <c r="H23" s="3">
        <v>750</v>
      </c>
      <c r="I23" s="3">
        <v>750</v>
      </c>
      <c r="J23" s="3">
        <v>750</v>
      </c>
      <c r="K23" s="3">
        <v>750</v>
      </c>
      <c r="L23" s="3">
        <v>750</v>
      </c>
      <c r="M23" s="3">
        <v>750</v>
      </c>
    </row>
    <row r="24" spans="1:13" x14ac:dyDescent="0.3">
      <c r="A24" s="26" t="s">
        <v>79</v>
      </c>
      <c r="B24" s="3">
        <f>SUM(B20:B23)</f>
        <v>4625</v>
      </c>
      <c r="C24" s="3">
        <f>SUM(C20:C23)</f>
        <v>3625</v>
      </c>
      <c r="D24" s="3">
        <f t="shared" ref="D24:M24" si="0">SUM(D20:D23)</f>
        <v>5025</v>
      </c>
      <c r="E24" s="3">
        <f t="shared" si="0"/>
        <v>4870</v>
      </c>
      <c r="F24" s="3">
        <f t="shared" si="0"/>
        <v>5350</v>
      </c>
      <c r="G24" s="3">
        <f t="shared" si="0"/>
        <v>5300</v>
      </c>
      <c r="H24" s="3">
        <f t="shared" si="0"/>
        <v>5685</v>
      </c>
      <c r="I24" s="3">
        <f t="shared" si="0"/>
        <v>4390</v>
      </c>
      <c r="J24" s="3">
        <f t="shared" si="0"/>
        <v>5575</v>
      </c>
      <c r="K24" s="3">
        <f t="shared" si="0"/>
        <v>5425</v>
      </c>
      <c r="L24" s="3">
        <f t="shared" si="0"/>
        <v>5225</v>
      </c>
      <c r="M24" s="3">
        <f t="shared" si="0"/>
        <v>5150</v>
      </c>
    </row>
    <row r="25" spans="1:13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">
      <c r="A26" s="25" t="s">
        <v>80</v>
      </c>
      <c r="B26" s="3">
        <f>B17+B24</f>
        <v>8548.634</v>
      </c>
      <c r="C26" s="3">
        <f>C17+C24</f>
        <v>7953.607</v>
      </c>
      <c r="D26" s="3">
        <f>D17+D24</f>
        <v>9743.5649999999987</v>
      </c>
      <c r="E26" s="3">
        <f>E17+E24</f>
        <v>8957.134</v>
      </c>
      <c r="F26" s="3">
        <f>F17+F24</f>
        <v>9477.6280000000006</v>
      </c>
      <c r="G26" s="3">
        <f>G17+G24</f>
        <v>9358.616</v>
      </c>
      <c r="H26" s="3">
        <f>H17+H24</f>
        <v>10339.049999999999</v>
      </c>
      <c r="I26" s="3">
        <f>I17+I24</f>
        <v>8108.143</v>
      </c>
      <c r="J26" s="3">
        <f>J17+J24</f>
        <v>10092.574000000001</v>
      </c>
      <c r="K26" s="3">
        <f>K17+K24</f>
        <v>10136.056</v>
      </c>
      <c r="L26" s="3">
        <f>L17+L24</f>
        <v>9412.6460000000006</v>
      </c>
      <c r="M26" s="3">
        <f>M17+M24</f>
        <v>9247.652</v>
      </c>
    </row>
    <row r="27" spans="1:13" x14ac:dyDescent="0.3">
      <c r="A27" s="2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3">
      <c r="A28" s="25" t="s">
        <v>85</v>
      </c>
      <c r="B28" s="3">
        <f>B10</f>
        <v>13078.78</v>
      </c>
      <c r="C28" s="3">
        <f>C10</f>
        <v>14428.69</v>
      </c>
      <c r="D28" s="3">
        <f>D10</f>
        <v>15728.55</v>
      </c>
      <c r="E28" s="3">
        <f>E10</f>
        <v>13623.78</v>
      </c>
      <c r="F28" s="3">
        <f>F10</f>
        <v>13758.76</v>
      </c>
      <c r="G28" s="3">
        <f>G10</f>
        <v>13528.72</v>
      </c>
      <c r="H28" s="3">
        <f>H10</f>
        <v>15513.5</v>
      </c>
      <c r="I28" s="3">
        <f>I10</f>
        <v>12393.81</v>
      </c>
      <c r="J28" s="3">
        <f>J10</f>
        <v>15058.58</v>
      </c>
      <c r="K28" s="3">
        <f>K10</f>
        <v>15703.52</v>
      </c>
      <c r="L28" s="3">
        <f>L10</f>
        <v>13958.82</v>
      </c>
      <c r="M28" s="3">
        <f>M10</f>
        <v>13658.84</v>
      </c>
    </row>
    <row r="29" spans="1:13" x14ac:dyDescent="0.3">
      <c r="A29" s="25" t="s">
        <v>86</v>
      </c>
      <c r="B29" s="3">
        <f>B26</f>
        <v>8548.634</v>
      </c>
      <c r="C29" s="3">
        <f>C26</f>
        <v>7953.607</v>
      </c>
      <c r="D29" s="3">
        <f>D26</f>
        <v>9743.5649999999987</v>
      </c>
      <c r="E29" s="3">
        <f>E26</f>
        <v>8957.134</v>
      </c>
      <c r="F29" s="3">
        <f>F26</f>
        <v>9477.6280000000006</v>
      </c>
      <c r="G29" s="3">
        <f>G26</f>
        <v>9358.616</v>
      </c>
      <c r="H29" s="3">
        <f>H26</f>
        <v>10339.049999999999</v>
      </c>
      <c r="I29" s="3">
        <f>I26</f>
        <v>8108.143</v>
      </c>
      <c r="J29" s="3">
        <f>J26</f>
        <v>10092.574000000001</v>
      </c>
      <c r="K29" s="3">
        <f>K26</f>
        <v>10136.056</v>
      </c>
      <c r="L29" s="3">
        <f>L26</f>
        <v>9412.6460000000006</v>
      </c>
      <c r="M29" s="3">
        <f>M26</f>
        <v>9247.652</v>
      </c>
    </row>
    <row r="30" spans="1:13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3">
      <c r="A31" s="25" t="s">
        <v>81</v>
      </c>
      <c r="B31" s="3">
        <f>B28-B29</f>
        <v>4530.1460000000006</v>
      </c>
      <c r="C31" s="3">
        <f>C28-C29</f>
        <v>6475.0830000000005</v>
      </c>
      <c r="D31" s="3">
        <f>D28-D29</f>
        <v>5984.9850000000006</v>
      </c>
      <c r="E31" s="3">
        <f>E28-E29</f>
        <v>4666.6460000000006</v>
      </c>
      <c r="F31" s="3">
        <f>F28-F29</f>
        <v>4281.1319999999996</v>
      </c>
      <c r="G31" s="3">
        <f>G28-G29</f>
        <v>4170.1039999999994</v>
      </c>
      <c r="H31" s="3">
        <f>H28-H29</f>
        <v>5174.4500000000007</v>
      </c>
      <c r="I31" s="3">
        <f>I28-I29</f>
        <v>4285.6669999999995</v>
      </c>
      <c r="J31" s="3">
        <f>J28-J29</f>
        <v>4966.0059999999994</v>
      </c>
      <c r="K31" s="3">
        <f>K28-K29</f>
        <v>5567.4639999999999</v>
      </c>
      <c r="L31" s="3">
        <f>L28-L29</f>
        <v>4546.1739999999991</v>
      </c>
      <c r="M31" s="3">
        <f>M28-M29</f>
        <v>4411.1880000000001</v>
      </c>
    </row>
    <row r="32" spans="1:13" x14ac:dyDescent="0.3">
      <c r="A32" s="3" t="s">
        <v>82</v>
      </c>
      <c r="B32" s="3">
        <f>'Income Statement Year 3'!B25</f>
        <v>3289.6241000000005</v>
      </c>
      <c r="C32" s="3">
        <f>'Income Statement Year 3'!C25</f>
        <v>5846.3705500000005</v>
      </c>
      <c r="D32" s="3">
        <f>'Income Statement Year 3'!D25</f>
        <v>5483.3372500000005</v>
      </c>
      <c r="E32" s="3">
        <f>'Income Statement Year 3'!E25</f>
        <v>4282.4241000000002</v>
      </c>
      <c r="F32" s="3">
        <f>'Income Statement Year 3'!F25</f>
        <v>3927.9622000000013</v>
      </c>
      <c r="G32" s="3">
        <f>'Income Statement Year 3'!G25</f>
        <v>3943.6633999999995</v>
      </c>
      <c r="H32" s="3">
        <f>'Income Statement Year 3'!H25</f>
        <v>4859.8325000000004</v>
      </c>
      <c r="I32" s="3">
        <f>'Income Statement Year 3'!I25</f>
        <v>3937.7669499999997</v>
      </c>
      <c r="J32" s="3">
        <f>'Income Statement Year 3'!J25</f>
        <v>4617.205100000001</v>
      </c>
      <c r="K32" s="3">
        <f>'Income Statement Year 3'!K25</f>
        <v>5161.1693999999998</v>
      </c>
      <c r="L32" s="3">
        <f>'Income Statement Year 3'!L25</f>
        <v>4132.4228999999996</v>
      </c>
      <c r="M32" s="3">
        <f>'Income Statement Year 3'!M25</f>
        <v>4005.7848000000004</v>
      </c>
    </row>
    <row r="33" spans="1:13" x14ac:dyDescent="0.3">
      <c r="A33" s="3" t="s">
        <v>83</v>
      </c>
      <c r="B33" s="3">
        <f>B31-B32</f>
        <v>1240.5219000000002</v>
      </c>
      <c r="C33" s="3">
        <f t="shared" ref="C33:M33" si="1">C31-C32</f>
        <v>628.71244999999999</v>
      </c>
      <c r="D33" s="3">
        <f t="shared" si="1"/>
        <v>501.64775000000009</v>
      </c>
      <c r="E33" s="3">
        <f t="shared" si="1"/>
        <v>384.22190000000046</v>
      </c>
      <c r="F33" s="3">
        <f t="shared" si="1"/>
        <v>353.1697999999983</v>
      </c>
      <c r="G33" s="3">
        <f t="shared" si="1"/>
        <v>226.4405999999999</v>
      </c>
      <c r="H33" s="3">
        <f t="shared" si="1"/>
        <v>314.61750000000029</v>
      </c>
      <c r="I33" s="3">
        <f t="shared" si="1"/>
        <v>347.90004999999974</v>
      </c>
      <c r="J33" s="3">
        <f t="shared" si="1"/>
        <v>348.80089999999836</v>
      </c>
      <c r="K33" s="3">
        <f t="shared" si="1"/>
        <v>406.29460000000017</v>
      </c>
      <c r="L33" s="3">
        <f t="shared" si="1"/>
        <v>413.7510999999995</v>
      </c>
      <c r="M33" s="3">
        <f t="shared" si="1"/>
        <v>405.40319999999974</v>
      </c>
    </row>
    <row r="34" spans="1:13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</sheetData>
  <mergeCells count="1">
    <mergeCell ref="D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CA86-903F-471B-9C24-7178B0F85983}">
  <dimension ref="A1:D12"/>
  <sheetViews>
    <sheetView workbookViewId="0">
      <selection activeCell="G11" sqref="G11"/>
    </sheetView>
  </sheetViews>
  <sheetFormatPr defaultRowHeight="14.4" x14ac:dyDescent="0.3"/>
  <cols>
    <col min="1" max="1" width="23.6640625" customWidth="1"/>
    <col min="2" max="2" width="11" bestFit="1" customWidth="1"/>
    <col min="3" max="3" width="21.33203125" bestFit="1" customWidth="1"/>
    <col min="4" max="4" width="11" bestFit="1" customWidth="1"/>
  </cols>
  <sheetData>
    <row r="1" spans="1:4" x14ac:dyDescent="0.3">
      <c r="A1" s="33" t="s">
        <v>103</v>
      </c>
      <c r="B1" s="33"/>
      <c r="C1" s="33"/>
      <c r="D1" s="33"/>
    </row>
    <row r="3" spans="1:4" x14ac:dyDescent="0.3">
      <c r="A3" s="34" t="s">
        <v>90</v>
      </c>
      <c r="B3" s="34" t="s">
        <v>91</v>
      </c>
      <c r="C3" s="34" t="s">
        <v>92</v>
      </c>
      <c r="D3" s="34" t="s">
        <v>91</v>
      </c>
    </row>
    <row r="4" spans="1:4" x14ac:dyDescent="0.3">
      <c r="A4" s="26" t="s">
        <v>93</v>
      </c>
      <c r="B4" s="26"/>
      <c r="C4" s="26" t="s">
        <v>92</v>
      </c>
      <c r="D4" s="3"/>
    </row>
    <row r="5" spans="1:4" x14ac:dyDescent="0.3">
      <c r="A5" s="3" t="s">
        <v>94</v>
      </c>
      <c r="B5" s="3">
        <v>5458.1454000000003</v>
      </c>
      <c r="C5" s="3" t="s">
        <v>99</v>
      </c>
      <c r="D5" s="3">
        <v>9000</v>
      </c>
    </row>
    <row r="6" spans="1:4" x14ac:dyDescent="0.3">
      <c r="A6" s="30" t="s">
        <v>74</v>
      </c>
      <c r="B6" s="3">
        <v>51130.305</v>
      </c>
      <c r="C6" s="3"/>
      <c r="D6" s="3"/>
    </row>
    <row r="7" spans="1:4" ht="43.2" x14ac:dyDescent="0.3">
      <c r="A7" s="32" t="s">
        <v>97</v>
      </c>
      <c r="B7" s="25">
        <f>B5+B6</f>
        <v>56588.450400000002</v>
      </c>
      <c r="C7" s="25" t="s">
        <v>100</v>
      </c>
      <c r="D7" s="25">
        <v>9000</v>
      </c>
    </row>
    <row r="8" spans="1:4" x14ac:dyDescent="0.3">
      <c r="A8" s="3"/>
      <c r="B8" s="3"/>
      <c r="C8" s="3"/>
      <c r="D8" s="3"/>
    </row>
    <row r="9" spans="1:4" x14ac:dyDescent="0.3">
      <c r="A9" s="3"/>
      <c r="B9" s="3"/>
      <c r="C9" s="26" t="s">
        <v>95</v>
      </c>
      <c r="D9" s="3"/>
    </row>
    <row r="10" spans="1:4" x14ac:dyDescent="0.3">
      <c r="A10" s="3"/>
      <c r="B10" s="3"/>
      <c r="C10" s="35" t="s">
        <v>102</v>
      </c>
      <c r="D10" s="35">
        <v>47588.450400000002</v>
      </c>
    </row>
    <row r="11" spans="1:4" x14ac:dyDescent="0.3">
      <c r="A11" s="3"/>
      <c r="B11" s="3"/>
      <c r="C11" s="3"/>
      <c r="D11" s="3"/>
    </row>
    <row r="12" spans="1:4" x14ac:dyDescent="0.3">
      <c r="A12" s="31" t="s">
        <v>98</v>
      </c>
      <c r="B12" s="25">
        <f>B7</f>
        <v>56588.450400000002</v>
      </c>
      <c r="C12" s="25" t="s">
        <v>101</v>
      </c>
      <c r="D12" s="25">
        <f>D7+D10</f>
        <v>56588.450400000002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sqref="A1:B3"/>
    </sheetView>
  </sheetViews>
  <sheetFormatPr defaultRowHeight="14.4" x14ac:dyDescent="0.3"/>
  <cols>
    <col min="1" max="1" width="18.109375" bestFit="1" customWidth="1"/>
    <col min="2" max="2" width="10.6640625" bestFit="1" customWidth="1"/>
  </cols>
  <sheetData>
    <row r="1" spans="1:2" x14ac:dyDescent="0.3">
      <c r="A1" s="1" t="s">
        <v>25</v>
      </c>
      <c r="B1" s="1" t="s">
        <v>26</v>
      </c>
    </row>
    <row r="2" spans="1:2" x14ac:dyDescent="0.3">
      <c r="A2" s="3" t="s">
        <v>27</v>
      </c>
      <c r="B2" s="3">
        <v>8000</v>
      </c>
    </row>
    <row r="3" spans="1:2" x14ac:dyDescent="0.3">
      <c r="A3" s="3" t="s">
        <v>28</v>
      </c>
      <c r="B3" s="3">
        <v>50000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34233-0236-4846-B21E-B70DDE20E061}">
  <dimension ref="A1:S25"/>
  <sheetViews>
    <sheetView tabSelected="1" workbookViewId="0">
      <selection activeCell="P16" sqref="P16"/>
    </sheetView>
  </sheetViews>
  <sheetFormatPr defaultRowHeight="14.4" x14ac:dyDescent="0.3"/>
  <cols>
    <col min="1" max="1" width="23.109375" bestFit="1" customWidth="1"/>
    <col min="14" max="14" width="11.6640625" bestFit="1" customWidth="1"/>
    <col min="18" max="18" width="8" bestFit="1" customWidth="1"/>
    <col min="19" max="19" width="18.88671875" bestFit="1" customWidth="1"/>
  </cols>
  <sheetData>
    <row r="1" spans="1:19" ht="15" thickBot="1" x14ac:dyDescent="0.35">
      <c r="E1" s="17" t="s">
        <v>64</v>
      </c>
      <c r="F1" s="18"/>
      <c r="G1" s="19"/>
    </row>
    <row r="3" spans="1:19" x14ac:dyDescent="0.3">
      <c r="A3" s="1" t="s">
        <v>0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1" t="s">
        <v>41</v>
      </c>
      <c r="Q3" s="1" t="s">
        <v>42</v>
      </c>
      <c r="R3" s="1" t="s">
        <v>43</v>
      </c>
      <c r="S3" s="1" t="s">
        <v>44</v>
      </c>
    </row>
    <row r="4" spans="1:19" x14ac:dyDescent="0.3">
      <c r="A4" s="7" t="s">
        <v>45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Q4" s="2">
        <v>159.99</v>
      </c>
      <c r="R4" s="2">
        <v>74.989999999999995</v>
      </c>
      <c r="S4" s="2">
        <v>69.989999999999995</v>
      </c>
    </row>
    <row r="5" spans="1:19" x14ac:dyDescent="0.3">
      <c r="A5" s="8" t="s">
        <v>46</v>
      </c>
      <c r="B5" s="3">
        <f>Q4*48</f>
        <v>7679.52</v>
      </c>
      <c r="C5" s="3">
        <f>Q4*42</f>
        <v>6719.58</v>
      </c>
      <c r="D5" s="3">
        <f>Q4*48</f>
        <v>7679.52</v>
      </c>
      <c r="E5" s="3">
        <f>Q4*45</f>
        <v>7199.55</v>
      </c>
      <c r="F5" s="3">
        <f>Q4*41</f>
        <v>6559.59</v>
      </c>
      <c r="G5" s="3">
        <f>Q4*45</f>
        <v>7199.55</v>
      </c>
      <c r="H5" s="3">
        <f>Q4*45</f>
        <v>7199.55</v>
      </c>
      <c r="I5" s="3">
        <f>Q4*39</f>
        <v>6239.6100000000006</v>
      </c>
      <c r="J5" s="3">
        <f>Q4*44</f>
        <v>7039.56</v>
      </c>
      <c r="K5" s="3">
        <f>Q4*44</f>
        <v>7039.56</v>
      </c>
      <c r="L5" s="3">
        <f>Q4*52</f>
        <v>8319.48</v>
      </c>
      <c r="M5" s="3">
        <f>Q4*49</f>
        <v>7839.51</v>
      </c>
      <c r="N5" s="3">
        <f>B5+C5+D5+E5+F5+G5+H5+I5+J5+K5+L5+M5</f>
        <v>86714.58</v>
      </c>
    </row>
    <row r="6" spans="1:19" x14ac:dyDescent="0.3">
      <c r="A6" s="8" t="s">
        <v>47</v>
      </c>
      <c r="B6" s="3">
        <f>R4*22</f>
        <v>1649.78</v>
      </c>
      <c r="C6" s="3">
        <f>R4*24</f>
        <v>1799.7599999999998</v>
      </c>
      <c r="D6" s="3">
        <f>R4*18</f>
        <v>1349.82</v>
      </c>
      <c r="E6" s="3">
        <f>R4*20</f>
        <v>1499.8</v>
      </c>
      <c r="F6" s="3">
        <f>R4*23</f>
        <v>1724.77</v>
      </c>
      <c r="G6" s="3">
        <f>R4*30</f>
        <v>2249.6999999999998</v>
      </c>
      <c r="H6" s="3">
        <f>R4*28</f>
        <v>2099.7199999999998</v>
      </c>
      <c r="I6" s="3">
        <f>R4*23</f>
        <v>1724.77</v>
      </c>
      <c r="J6" s="3">
        <f>R4*35</f>
        <v>2624.6499999999996</v>
      </c>
      <c r="K6" s="3">
        <f>R4*28</f>
        <v>2099.7199999999998</v>
      </c>
      <c r="L6" s="3">
        <f>R4*22</f>
        <v>1649.78</v>
      </c>
      <c r="M6" s="3">
        <f>R4*24</f>
        <v>1799.7599999999998</v>
      </c>
      <c r="N6" s="3">
        <f>B6+C6+D6+E6+F6+G6+H6+I6+J6+K6+L6+M6</f>
        <v>22272.03</v>
      </c>
    </row>
    <row r="7" spans="1:19" x14ac:dyDescent="0.3">
      <c r="A7" s="8" t="s">
        <v>48</v>
      </c>
      <c r="B7" s="3">
        <f>S4*18</f>
        <v>1259.82</v>
      </c>
      <c r="C7" s="3">
        <f>S4*20</f>
        <v>1399.8</v>
      </c>
      <c r="D7" s="3">
        <f>S4*22</f>
        <v>1539.78</v>
      </c>
      <c r="E7" s="3">
        <f>S4*28</f>
        <v>1959.7199999999998</v>
      </c>
      <c r="F7" s="3">
        <f>S4*19</f>
        <v>1329.81</v>
      </c>
      <c r="G7" s="3">
        <f>S4*22</f>
        <v>1539.78</v>
      </c>
      <c r="H7" s="3">
        <f>S4*20</f>
        <v>1399.8</v>
      </c>
      <c r="I7" s="3">
        <f>S4*14</f>
        <v>979.8599999999999</v>
      </c>
      <c r="J7" s="3">
        <f>S4*25</f>
        <v>1749.7499999999998</v>
      </c>
      <c r="K7" s="3">
        <f>S4*19</f>
        <v>1329.81</v>
      </c>
      <c r="L7" s="3">
        <f>S4*19</f>
        <v>1329.81</v>
      </c>
      <c r="M7" s="3">
        <f>S4*22</f>
        <v>1539.78</v>
      </c>
      <c r="N7" s="3">
        <f>B7+C7+D7+E7+F7+G7+H7+I7+J7+K7+L7+M7</f>
        <v>17357.519999999997</v>
      </c>
    </row>
    <row r="8" spans="1:19" x14ac:dyDescent="0.3">
      <c r="A8" s="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9" s="4" customFormat="1" x14ac:dyDescent="0.3">
      <c r="A9" s="9" t="s">
        <v>49</v>
      </c>
      <c r="B9" s="5">
        <f t="shared" ref="B9:N9" si="0">SUM(B5:B7)</f>
        <v>10589.12</v>
      </c>
      <c r="C9" s="5">
        <f t="shared" si="0"/>
        <v>9919.14</v>
      </c>
      <c r="D9" s="5">
        <f t="shared" si="0"/>
        <v>10569.12</v>
      </c>
      <c r="E9" s="5">
        <f t="shared" si="0"/>
        <v>10659.07</v>
      </c>
      <c r="F9" s="5">
        <f t="shared" si="0"/>
        <v>9614.17</v>
      </c>
      <c r="G9" s="5">
        <f t="shared" si="0"/>
        <v>10989.03</v>
      </c>
      <c r="H9" s="5">
        <f t="shared" si="0"/>
        <v>10699.07</v>
      </c>
      <c r="I9" s="5">
        <f t="shared" si="0"/>
        <v>8944.2400000000016</v>
      </c>
      <c r="J9" s="5">
        <f t="shared" si="0"/>
        <v>11413.96</v>
      </c>
      <c r="K9" s="5">
        <f t="shared" si="0"/>
        <v>10469.09</v>
      </c>
      <c r="L9" s="5">
        <f t="shared" si="0"/>
        <v>11299.07</v>
      </c>
      <c r="M9" s="5">
        <f t="shared" si="0"/>
        <v>11179.050000000001</v>
      </c>
      <c r="N9" s="5">
        <f t="shared" si="0"/>
        <v>126344.13</v>
      </c>
    </row>
    <row r="10" spans="1:19" x14ac:dyDescent="0.3">
      <c r="A10" s="10" t="s">
        <v>50</v>
      </c>
      <c r="B10" s="3">
        <f t="shared" ref="B10:N10" si="1">B9*30%</f>
        <v>3176.7360000000003</v>
      </c>
      <c r="C10" s="3">
        <f t="shared" si="1"/>
        <v>2975.7419999999997</v>
      </c>
      <c r="D10" s="3">
        <f t="shared" si="1"/>
        <v>3170.7360000000003</v>
      </c>
      <c r="E10" s="3">
        <f t="shared" si="1"/>
        <v>3197.721</v>
      </c>
      <c r="F10" s="3">
        <f t="shared" si="1"/>
        <v>2884.2509999999997</v>
      </c>
      <c r="G10" s="3">
        <f t="shared" si="1"/>
        <v>3296.7090000000003</v>
      </c>
      <c r="H10" s="3">
        <f t="shared" si="1"/>
        <v>3209.721</v>
      </c>
      <c r="I10" s="3">
        <f t="shared" si="1"/>
        <v>2683.2720000000004</v>
      </c>
      <c r="J10" s="3">
        <f t="shared" si="1"/>
        <v>3424.1879999999996</v>
      </c>
      <c r="K10" s="3">
        <f t="shared" si="1"/>
        <v>3140.7269999999999</v>
      </c>
      <c r="L10" s="3">
        <f t="shared" si="1"/>
        <v>3389.721</v>
      </c>
      <c r="M10" s="3">
        <f t="shared" si="1"/>
        <v>3353.7150000000001</v>
      </c>
      <c r="N10" s="3">
        <f t="shared" si="1"/>
        <v>37903.239000000001</v>
      </c>
    </row>
    <row r="11" spans="1:19" x14ac:dyDescent="0.3">
      <c r="A11" s="1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9" s="4" customFormat="1" x14ac:dyDescent="0.3">
      <c r="A12" s="9" t="s">
        <v>51</v>
      </c>
      <c r="B12" s="5">
        <f t="shared" ref="B12:N12" si="2">B9-B10</f>
        <v>7412.384</v>
      </c>
      <c r="C12" s="5">
        <f t="shared" si="2"/>
        <v>6943.3979999999992</v>
      </c>
      <c r="D12" s="5">
        <f t="shared" si="2"/>
        <v>7398.384</v>
      </c>
      <c r="E12" s="5">
        <f t="shared" si="2"/>
        <v>7461.3490000000002</v>
      </c>
      <c r="F12" s="5">
        <f t="shared" si="2"/>
        <v>6729.9189999999999</v>
      </c>
      <c r="G12" s="5">
        <f t="shared" si="2"/>
        <v>7692.3209999999999</v>
      </c>
      <c r="H12" s="5">
        <f t="shared" si="2"/>
        <v>7489.3490000000002</v>
      </c>
      <c r="I12" s="5">
        <f t="shared" si="2"/>
        <v>6260.9680000000008</v>
      </c>
      <c r="J12" s="5">
        <f t="shared" si="2"/>
        <v>7989.771999999999</v>
      </c>
      <c r="K12" s="5">
        <f t="shared" si="2"/>
        <v>7328.3630000000003</v>
      </c>
      <c r="L12" s="5">
        <f t="shared" si="2"/>
        <v>7909.3490000000002</v>
      </c>
      <c r="M12" s="5">
        <f t="shared" si="2"/>
        <v>7825.3350000000009</v>
      </c>
      <c r="N12" s="5">
        <f t="shared" si="2"/>
        <v>88440.891000000003</v>
      </c>
    </row>
    <row r="13" spans="1:19" x14ac:dyDescent="0.3">
      <c r="A13" s="8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9" x14ac:dyDescent="0.3">
      <c r="A14" s="10" t="s">
        <v>52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9" x14ac:dyDescent="0.3">
      <c r="A15" s="8" t="s">
        <v>53</v>
      </c>
      <c r="B15" s="3">
        <v>275</v>
      </c>
      <c r="C15" s="3">
        <v>275</v>
      </c>
      <c r="D15" s="3">
        <v>275</v>
      </c>
      <c r="E15" s="3">
        <v>275</v>
      </c>
      <c r="F15" s="3">
        <v>275</v>
      </c>
      <c r="G15" s="3">
        <v>275</v>
      </c>
      <c r="H15" s="3">
        <v>275</v>
      </c>
      <c r="I15" s="3">
        <v>275</v>
      </c>
      <c r="J15" s="3">
        <v>275</v>
      </c>
      <c r="K15" s="3">
        <v>275</v>
      </c>
      <c r="L15" s="3">
        <v>275</v>
      </c>
      <c r="M15" s="3">
        <v>275</v>
      </c>
      <c r="N15" s="3">
        <f>B15+C15+D15+E15+F15+G15+H15+I15+J15+K15+L15+M15</f>
        <v>3300</v>
      </c>
    </row>
    <row r="16" spans="1:19" x14ac:dyDescent="0.3">
      <c r="A16" s="8" t="s">
        <v>54</v>
      </c>
      <c r="B16" s="3">
        <v>1000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f>B16+C16+D16+E16+F16+G16+H16+I16+J16+K16+L16+M16</f>
        <v>1000</v>
      </c>
    </row>
    <row r="17" spans="1:14" x14ac:dyDescent="0.3">
      <c r="A17" s="8" t="s">
        <v>55</v>
      </c>
      <c r="B17" s="3">
        <v>500</v>
      </c>
      <c r="C17" s="3">
        <v>500</v>
      </c>
      <c r="D17" s="3">
        <v>500</v>
      </c>
      <c r="E17" s="3">
        <v>500</v>
      </c>
      <c r="F17" s="3">
        <v>500</v>
      </c>
      <c r="G17" s="3">
        <v>500</v>
      </c>
      <c r="H17" s="3">
        <v>500</v>
      </c>
      <c r="I17" s="3">
        <v>500</v>
      </c>
      <c r="J17" s="3">
        <v>500</v>
      </c>
      <c r="K17" s="3">
        <v>500</v>
      </c>
      <c r="L17" s="3">
        <v>500</v>
      </c>
      <c r="M17" s="3">
        <v>500</v>
      </c>
      <c r="N17" s="3">
        <f>B17+C17+D17+E17+F17+G17+H17+I17+J17+K17+L17+M17</f>
        <v>6000</v>
      </c>
    </row>
    <row r="18" spans="1:14" x14ac:dyDescent="0.3">
      <c r="A18" s="8" t="s">
        <v>56</v>
      </c>
      <c r="B18" s="3">
        <v>4000</v>
      </c>
      <c r="C18" s="3">
        <v>4200</v>
      </c>
      <c r="D18" s="3">
        <v>3500</v>
      </c>
      <c r="E18" s="3">
        <v>3850</v>
      </c>
      <c r="F18" s="3">
        <v>4300</v>
      </c>
      <c r="G18" s="3">
        <v>5000</v>
      </c>
      <c r="H18" s="3">
        <v>4800</v>
      </c>
      <c r="I18" s="3">
        <v>3450</v>
      </c>
      <c r="J18" s="3">
        <v>4750</v>
      </c>
      <c r="K18" s="3">
        <v>4200</v>
      </c>
      <c r="L18" s="3">
        <v>4600</v>
      </c>
      <c r="M18" s="3">
        <v>4620</v>
      </c>
      <c r="N18" s="3">
        <f>B18+C18+D18+E18+F18+G18+H18+I18+J18+K18+L18+M18</f>
        <v>51270</v>
      </c>
    </row>
    <row r="19" spans="1:14" x14ac:dyDescent="0.3">
      <c r="A19" s="10" t="s">
        <v>57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3">
      <c r="A20" s="8" t="s">
        <v>58</v>
      </c>
      <c r="B20" s="3">
        <f>'Funding Sources'!B3*1.5%</f>
        <v>750</v>
      </c>
      <c r="C20" s="3">
        <f>'Funding Sources'!B3*1.5%</f>
        <v>750</v>
      </c>
      <c r="D20" s="3">
        <f>'Funding Sources'!B3*1.5%</f>
        <v>750</v>
      </c>
      <c r="E20" s="3">
        <f>'Funding Sources'!B3*1.5%</f>
        <v>750</v>
      </c>
      <c r="F20" s="3">
        <f>'Funding Sources'!B3*1.5%</f>
        <v>750</v>
      </c>
      <c r="G20" s="3">
        <f>'Funding Sources'!B3*1.5%</f>
        <v>750</v>
      </c>
      <c r="H20" s="3">
        <f>'Funding Sources'!B3*1.5%</f>
        <v>750</v>
      </c>
      <c r="I20" s="3">
        <f>'Funding Sources'!B3*1.5%</f>
        <v>750</v>
      </c>
      <c r="J20" s="3">
        <f>'Funding Sources'!B3*1.5%</f>
        <v>750</v>
      </c>
      <c r="K20" s="3">
        <f>'Funding Sources'!B3*1.5%</f>
        <v>750</v>
      </c>
      <c r="L20" s="3">
        <f>'Funding Sources'!B3*1.5%</f>
        <v>750</v>
      </c>
      <c r="M20" s="3">
        <f>'Funding Sources'!B3*1.5%</f>
        <v>750</v>
      </c>
      <c r="N20" s="3">
        <f>B20+C20+D20+E20+F20+G20+H20+I20+J20+K20+L20+M20</f>
        <v>9000</v>
      </c>
    </row>
    <row r="21" spans="1:14" x14ac:dyDescent="0.3">
      <c r="A21" s="10" t="s">
        <v>62</v>
      </c>
      <c r="B21" s="3">
        <f t="shared" ref="B21:M21" si="3">SUM(B15:B20)</f>
        <v>6525</v>
      </c>
      <c r="C21" s="3">
        <f t="shared" si="3"/>
        <v>5725</v>
      </c>
      <c r="D21" s="3">
        <f t="shared" si="3"/>
        <v>5025</v>
      </c>
      <c r="E21" s="3">
        <f t="shared" si="3"/>
        <v>5375</v>
      </c>
      <c r="F21" s="3">
        <f t="shared" si="3"/>
        <v>5825</v>
      </c>
      <c r="G21" s="3">
        <f>SUM(G15:G20)</f>
        <v>6525</v>
      </c>
      <c r="H21" s="3">
        <f t="shared" si="3"/>
        <v>6325</v>
      </c>
      <c r="I21" s="3">
        <f t="shared" si="3"/>
        <v>4975</v>
      </c>
      <c r="J21" s="3">
        <f t="shared" si="3"/>
        <v>6275</v>
      </c>
      <c r="K21" s="3">
        <f t="shared" si="3"/>
        <v>5725</v>
      </c>
      <c r="L21" s="3">
        <f t="shared" si="3"/>
        <v>6125</v>
      </c>
      <c r="M21" s="3">
        <f t="shared" si="3"/>
        <v>6145</v>
      </c>
      <c r="N21" s="3">
        <f>B21+C21+D21+E21+F21+G21+H21+I21+J21+K21+L21+M21</f>
        <v>70570</v>
      </c>
    </row>
    <row r="22" spans="1:14" x14ac:dyDescent="0.3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3">
      <c r="A23" s="10" t="s">
        <v>59</v>
      </c>
      <c r="B23" s="3">
        <f t="shared" ref="B23:M23" si="4">B12-B21</f>
        <v>887.38400000000001</v>
      </c>
      <c r="C23" s="3">
        <f t="shared" si="4"/>
        <v>1218.3979999999992</v>
      </c>
      <c r="D23" s="3">
        <f t="shared" si="4"/>
        <v>2373.384</v>
      </c>
      <c r="E23" s="3">
        <f t="shared" si="4"/>
        <v>2086.3490000000002</v>
      </c>
      <c r="F23" s="3">
        <f t="shared" si="4"/>
        <v>904.91899999999987</v>
      </c>
      <c r="G23" s="3">
        <f t="shared" si="4"/>
        <v>1167.3209999999999</v>
      </c>
      <c r="H23" s="3">
        <f t="shared" si="4"/>
        <v>1164.3490000000002</v>
      </c>
      <c r="I23" s="3">
        <f t="shared" si="4"/>
        <v>1285.9680000000008</v>
      </c>
      <c r="J23" s="3">
        <f t="shared" si="4"/>
        <v>1714.771999999999</v>
      </c>
      <c r="K23" s="3">
        <f t="shared" si="4"/>
        <v>1603.3630000000003</v>
      </c>
      <c r="L23" s="3">
        <f t="shared" si="4"/>
        <v>1784.3490000000002</v>
      </c>
      <c r="M23" s="3">
        <f t="shared" si="4"/>
        <v>1680.3350000000009</v>
      </c>
      <c r="N23" s="3">
        <f>B23+C23+D23+E23+F23+G23+H23+I23+J23+K23+L23+M23</f>
        <v>17870.891</v>
      </c>
    </row>
    <row r="24" spans="1:14" ht="15" thickBot="1" x14ac:dyDescent="0.35">
      <c r="A24" s="11" t="s">
        <v>63</v>
      </c>
      <c r="B24" s="12">
        <f t="shared" ref="B24:M24" si="5">B23*15%</f>
        <v>133.10759999999999</v>
      </c>
      <c r="C24" s="12">
        <f t="shared" si="5"/>
        <v>182.75969999999987</v>
      </c>
      <c r="D24" s="12">
        <f t="shared" si="5"/>
        <v>356.00759999999997</v>
      </c>
      <c r="E24" s="12">
        <f t="shared" si="5"/>
        <v>312.95235000000002</v>
      </c>
      <c r="F24" s="12">
        <f t="shared" si="5"/>
        <v>135.73784999999998</v>
      </c>
      <c r="G24" s="12">
        <f t="shared" si="5"/>
        <v>175.09814999999998</v>
      </c>
      <c r="H24" s="12">
        <f t="shared" si="5"/>
        <v>174.65235000000001</v>
      </c>
      <c r="I24" s="12">
        <f t="shared" si="5"/>
        <v>192.8952000000001</v>
      </c>
      <c r="J24" s="12">
        <f t="shared" si="5"/>
        <v>257.21579999999983</v>
      </c>
      <c r="K24" s="12">
        <f t="shared" si="5"/>
        <v>240.50445000000002</v>
      </c>
      <c r="L24" s="12">
        <f t="shared" si="5"/>
        <v>267.65235000000001</v>
      </c>
      <c r="M24" s="12">
        <f t="shared" si="5"/>
        <v>252.05025000000012</v>
      </c>
      <c r="N24" s="12">
        <f>B24+C24+D24+E24+F24+G24+H24+I24+J24+K24+L24+M24</f>
        <v>2680.6336499999998</v>
      </c>
    </row>
    <row r="25" spans="1:14" ht="15" thickBot="1" x14ac:dyDescent="0.35">
      <c r="A25" s="13" t="s">
        <v>61</v>
      </c>
      <c r="B25" s="14">
        <f t="shared" ref="B25:M25" si="6">B23-B24</f>
        <v>754.27639999999997</v>
      </c>
      <c r="C25" s="14">
        <f t="shared" si="6"/>
        <v>1035.6382999999994</v>
      </c>
      <c r="D25" s="14">
        <f t="shared" si="6"/>
        <v>2017.3764000000001</v>
      </c>
      <c r="E25" s="14">
        <f t="shared" si="6"/>
        <v>1773.3966500000001</v>
      </c>
      <c r="F25" s="14">
        <f t="shared" si="6"/>
        <v>769.18114999999989</v>
      </c>
      <c r="G25" s="14">
        <f t="shared" si="6"/>
        <v>992.22284999999988</v>
      </c>
      <c r="H25" s="14">
        <f t="shared" si="6"/>
        <v>989.69665000000009</v>
      </c>
      <c r="I25" s="14">
        <f t="shared" si="6"/>
        <v>1093.0728000000006</v>
      </c>
      <c r="J25" s="14">
        <f t="shared" si="6"/>
        <v>1457.5561999999991</v>
      </c>
      <c r="K25" s="14">
        <f t="shared" si="6"/>
        <v>1362.8585500000004</v>
      </c>
      <c r="L25" s="14">
        <f t="shared" si="6"/>
        <v>1516.6966500000001</v>
      </c>
      <c r="M25" s="14">
        <f t="shared" si="6"/>
        <v>1428.2847500000007</v>
      </c>
      <c r="N25" s="15">
        <f>B25+C25+D25+E25+F25+G25+H25+I25+J25+K25+L25+M25</f>
        <v>15190.25735</v>
      </c>
    </row>
  </sheetData>
  <mergeCells count="1">
    <mergeCell ref="E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48865-5803-4B52-AE20-FADC0B305B62}">
  <dimension ref="A1:M34"/>
  <sheetViews>
    <sheetView zoomScale="78" workbookViewId="0">
      <selection activeCell="M33" sqref="M33"/>
    </sheetView>
  </sheetViews>
  <sheetFormatPr defaultRowHeight="14.4" x14ac:dyDescent="0.3"/>
  <cols>
    <col min="1" max="1" width="34.88671875" bestFit="1" customWidth="1"/>
  </cols>
  <sheetData>
    <row r="1" spans="1:13" ht="15" thickBot="1" x14ac:dyDescent="0.35">
      <c r="D1" s="21" t="s">
        <v>87</v>
      </c>
      <c r="E1" s="22"/>
      <c r="F1" s="22"/>
      <c r="G1" s="22"/>
      <c r="H1" s="23"/>
    </row>
    <row r="3" spans="1:13" x14ac:dyDescent="0.3">
      <c r="A3" s="28" t="s">
        <v>0</v>
      </c>
      <c r="B3" s="28" t="s">
        <v>29</v>
      </c>
      <c r="C3" s="28" t="s">
        <v>30</v>
      </c>
      <c r="D3" s="28" t="s">
        <v>31</v>
      </c>
      <c r="E3" s="28" t="s">
        <v>32</v>
      </c>
      <c r="F3" s="28" t="s">
        <v>33</v>
      </c>
      <c r="G3" s="28" t="s">
        <v>34</v>
      </c>
      <c r="H3" s="28" t="s">
        <v>35</v>
      </c>
      <c r="I3" s="28" t="s">
        <v>36</v>
      </c>
      <c r="J3" s="28" t="s">
        <v>37</v>
      </c>
      <c r="K3" s="28" t="s">
        <v>38</v>
      </c>
      <c r="L3" s="28" t="s">
        <v>39</v>
      </c>
      <c r="M3" s="28" t="s">
        <v>40</v>
      </c>
    </row>
    <row r="4" spans="1:13" x14ac:dyDescent="0.3">
      <c r="A4" s="25" t="s">
        <v>67</v>
      </c>
      <c r="B4" s="3">
        <v>0</v>
      </c>
      <c r="C4" s="3">
        <f>B33</f>
        <v>1633.1076</v>
      </c>
      <c r="D4" s="3">
        <f>C33</f>
        <v>682.75969999999984</v>
      </c>
      <c r="E4" s="3">
        <f>D33</f>
        <v>856.00759999999991</v>
      </c>
      <c r="F4" s="3">
        <f>E33</f>
        <v>812.95235000000002</v>
      </c>
      <c r="G4" s="3">
        <f>F33</f>
        <v>635.73784999999998</v>
      </c>
      <c r="H4" s="3">
        <f>G33</f>
        <v>675.09815000000003</v>
      </c>
      <c r="I4" s="3">
        <f>H33</f>
        <v>674.65235000000007</v>
      </c>
      <c r="J4" s="3">
        <f>I33</f>
        <v>692.89520000000016</v>
      </c>
      <c r="K4" s="3">
        <f>J33</f>
        <v>757.21579999999994</v>
      </c>
      <c r="L4" s="3">
        <f>K33</f>
        <v>740.50445000000082</v>
      </c>
      <c r="M4" s="3">
        <f>L33</f>
        <v>767.65235000000007</v>
      </c>
    </row>
    <row r="5" spans="1:13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3">
      <c r="A6" s="25" t="s">
        <v>68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3">
      <c r="A7" s="3" t="s">
        <v>69</v>
      </c>
      <c r="B7" s="3">
        <f>'Income Statement Year 1'!B9</f>
        <v>10589.12</v>
      </c>
      <c r="C7" s="3">
        <f>'Income Statement Year 1'!C9</f>
        <v>9919.14</v>
      </c>
      <c r="D7" s="3">
        <f>'Income Statement Year 1'!D9</f>
        <v>10569.12</v>
      </c>
      <c r="E7" s="3">
        <f>'Income Statement Year 1'!E9</f>
        <v>10659.07</v>
      </c>
      <c r="F7" s="3">
        <f>'Income Statement Year 1'!F9</f>
        <v>9614.17</v>
      </c>
      <c r="G7" s="3">
        <f>'Income Statement Year 1'!G9</f>
        <v>10989.03</v>
      </c>
      <c r="H7" s="3">
        <f>'Income Statement Year 1'!H9</f>
        <v>10699.07</v>
      </c>
      <c r="I7" s="3">
        <f>'Income Statement Year 1'!I9</f>
        <v>8944.2400000000016</v>
      </c>
      <c r="J7" s="3">
        <f>'Income Statement Year 1'!J9</f>
        <v>11413.96</v>
      </c>
      <c r="K7" s="3">
        <f>'Income Statement Year 1'!K9</f>
        <v>10469.09</v>
      </c>
      <c r="L7" s="3">
        <f>'Income Statement Year 1'!L9</f>
        <v>11299.07</v>
      </c>
      <c r="M7" s="3">
        <f>'Income Statement Year 1'!M9</f>
        <v>11179.050000000001</v>
      </c>
    </row>
    <row r="8" spans="1:13" x14ac:dyDescent="0.3">
      <c r="A8" s="3" t="s">
        <v>70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</row>
    <row r="9" spans="1:13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3">
      <c r="A10" s="25" t="s">
        <v>71</v>
      </c>
      <c r="B10" s="3">
        <f>B7+B8</f>
        <v>10589.12</v>
      </c>
      <c r="C10" s="3">
        <f>C7+C8</f>
        <v>9919.14</v>
      </c>
      <c r="D10" s="3">
        <f>D7+D8</f>
        <v>10569.12</v>
      </c>
      <c r="E10" s="3">
        <f>E7+E8</f>
        <v>10659.07</v>
      </c>
      <c r="F10" s="3">
        <f>F7+F8</f>
        <v>9614.17</v>
      </c>
      <c r="G10" s="3">
        <f>G7+G8</f>
        <v>10989.03</v>
      </c>
      <c r="H10" s="3">
        <f>H7+H8</f>
        <v>10699.07</v>
      </c>
      <c r="I10" s="3">
        <f>I7+I8</f>
        <v>8944.2400000000016</v>
      </c>
      <c r="J10" s="3">
        <f>J7+J8</f>
        <v>11413.96</v>
      </c>
      <c r="K10" s="3">
        <f>K7+K8</f>
        <v>10469.09</v>
      </c>
      <c r="L10" s="3">
        <f>L7+L8</f>
        <v>11299.07</v>
      </c>
      <c r="M10" s="3">
        <f>M7+M8</f>
        <v>11179.050000000001</v>
      </c>
    </row>
    <row r="11" spans="1:13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3">
      <c r="A12" s="25" t="s">
        <v>72</v>
      </c>
      <c r="B12" s="3">
        <f>B4+B10</f>
        <v>10589.12</v>
      </c>
      <c r="C12" s="3">
        <f>C4+C10</f>
        <v>11552.247599999999</v>
      </c>
      <c r="D12" s="3">
        <f>D4+D10</f>
        <v>11251.879700000001</v>
      </c>
      <c r="E12" s="3">
        <f>E4+E10</f>
        <v>11515.077600000001</v>
      </c>
      <c r="F12" s="3">
        <f>F4+F10</f>
        <v>10427.12235</v>
      </c>
      <c r="G12" s="3">
        <f>G4+G10</f>
        <v>11624.76785</v>
      </c>
      <c r="H12" s="3">
        <f>H4+H10</f>
        <v>11374.16815</v>
      </c>
      <c r="I12" s="3">
        <f>I4+I10</f>
        <v>9618.8923500000019</v>
      </c>
      <c r="J12" s="3">
        <f>J4+J10</f>
        <v>12106.8552</v>
      </c>
      <c r="K12" s="3">
        <f>K4+K10</f>
        <v>11226.3058</v>
      </c>
      <c r="L12" s="3">
        <f>L4+L10</f>
        <v>12039.57445</v>
      </c>
      <c r="M12" s="3">
        <f>M4+M10</f>
        <v>11946.702350000001</v>
      </c>
    </row>
    <row r="13" spans="1:13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3">
      <c r="A14" s="25" t="s">
        <v>73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3">
      <c r="A15" s="3" t="s">
        <v>74</v>
      </c>
      <c r="B15" s="3">
        <f>'Income Statement Year 1'!B10</f>
        <v>3176.7360000000003</v>
      </c>
      <c r="C15" s="3">
        <f>'Income Statement Year 1'!C10</f>
        <v>2975.7419999999997</v>
      </c>
      <c r="D15" s="3">
        <f>'Income Statement Year 1'!D10</f>
        <v>3170.7360000000003</v>
      </c>
      <c r="E15" s="3">
        <f>'Income Statement Year 1'!E10</f>
        <v>3197.721</v>
      </c>
      <c r="F15" s="3">
        <f>'Income Statement Year 1'!F10</f>
        <v>2884.2509999999997</v>
      </c>
      <c r="G15" s="3">
        <f>'Income Statement Year 1'!G10</f>
        <v>3296.7090000000003</v>
      </c>
      <c r="H15" s="3">
        <f>'Income Statement Year 1'!H10</f>
        <v>3209.721</v>
      </c>
      <c r="I15" s="3">
        <f>'Income Statement Year 1'!I10</f>
        <v>2683.2720000000004</v>
      </c>
      <c r="J15" s="3">
        <f>'Income Statement Year 1'!J10</f>
        <v>3424.1879999999996</v>
      </c>
      <c r="K15" s="3">
        <f>'Income Statement Year 1'!K10</f>
        <v>3140.7269999999999</v>
      </c>
      <c r="L15" s="3">
        <f>'Income Statement Year 1'!L10</f>
        <v>3389.721</v>
      </c>
      <c r="M15" s="3">
        <f>'Income Statement Year 1'!M10</f>
        <v>3353.7150000000001</v>
      </c>
    </row>
    <row r="16" spans="1:13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">
      <c r="A17" s="26" t="s">
        <v>75</v>
      </c>
      <c r="B17" s="3">
        <f>B15+B16</f>
        <v>3176.7360000000003</v>
      </c>
      <c r="C17" s="3">
        <f>C15+C16</f>
        <v>2975.7419999999997</v>
      </c>
      <c r="D17" s="3">
        <f>D15+D16</f>
        <v>3170.7360000000003</v>
      </c>
      <c r="E17" s="3">
        <f>E15+E16</f>
        <v>3197.721</v>
      </c>
      <c r="F17" s="3">
        <f>F15+F16</f>
        <v>2884.2509999999997</v>
      </c>
      <c r="G17" s="3">
        <f>G15+G16</f>
        <v>3296.7090000000003</v>
      </c>
      <c r="H17" s="3">
        <f>H15+H16</f>
        <v>3209.721</v>
      </c>
      <c r="I17" s="3">
        <f>I15+I16</f>
        <v>2683.2720000000004</v>
      </c>
      <c r="J17" s="3">
        <f>J15+J16</f>
        <v>3424.1879999999996</v>
      </c>
      <c r="K17" s="3">
        <f>K15+K16</f>
        <v>3140.7269999999999</v>
      </c>
      <c r="L17" s="3">
        <f>L15+L16</f>
        <v>3389.721</v>
      </c>
      <c r="M17" s="3">
        <f>M15+M16</f>
        <v>3353.7150000000001</v>
      </c>
    </row>
    <row r="18" spans="1:13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">
      <c r="A19" s="25" t="s">
        <v>52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">
      <c r="A20" s="3" t="s">
        <v>76</v>
      </c>
      <c r="B20" s="3">
        <v>275</v>
      </c>
      <c r="C20" s="3">
        <v>275</v>
      </c>
      <c r="D20" s="3">
        <v>275</v>
      </c>
      <c r="E20" s="3">
        <v>275</v>
      </c>
      <c r="F20" s="3">
        <v>275</v>
      </c>
      <c r="G20" s="3">
        <v>275</v>
      </c>
      <c r="H20" s="3">
        <v>275</v>
      </c>
      <c r="I20" s="3">
        <v>275</v>
      </c>
      <c r="J20" s="3">
        <v>275</v>
      </c>
      <c r="K20" s="3">
        <v>275</v>
      </c>
      <c r="L20" s="3">
        <v>275</v>
      </c>
      <c r="M20" s="3">
        <v>275</v>
      </c>
    </row>
    <row r="21" spans="1:13" x14ac:dyDescent="0.3">
      <c r="A21" s="3" t="s">
        <v>77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</row>
    <row r="22" spans="1:13" x14ac:dyDescent="0.3">
      <c r="A22" s="3" t="s">
        <v>78</v>
      </c>
      <c r="B22" s="3">
        <v>4000</v>
      </c>
      <c r="C22" s="3">
        <v>4200</v>
      </c>
      <c r="D22" s="3">
        <v>3500</v>
      </c>
      <c r="E22" s="3">
        <v>3850</v>
      </c>
      <c r="F22" s="3">
        <v>4300</v>
      </c>
      <c r="G22" s="3">
        <v>5000</v>
      </c>
      <c r="H22" s="3">
        <v>4800</v>
      </c>
      <c r="I22" s="3">
        <v>3450</v>
      </c>
      <c r="J22" s="3">
        <v>4750</v>
      </c>
      <c r="K22" s="3">
        <v>4200</v>
      </c>
      <c r="L22" s="3">
        <v>4600</v>
      </c>
      <c r="M22" s="3">
        <v>4620</v>
      </c>
    </row>
    <row r="23" spans="1:13" x14ac:dyDescent="0.3">
      <c r="A23" s="3" t="s">
        <v>96</v>
      </c>
      <c r="B23" s="3">
        <v>750</v>
      </c>
      <c r="C23" s="3">
        <v>750</v>
      </c>
      <c r="D23" s="3">
        <v>750</v>
      </c>
      <c r="E23" s="3">
        <v>750</v>
      </c>
      <c r="F23" s="3">
        <v>750</v>
      </c>
      <c r="G23" s="3">
        <v>750</v>
      </c>
      <c r="H23" s="3">
        <v>750</v>
      </c>
      <c r="I23" s="3">
        <v>750</v>
      </c>
      <c r="J23" s="3">
        <v>750</v>
      </c>
      <c r="K23" s="3">
        <v>750</v>
      </c>
      <c r="L23" s="3">
        <v>750</v>
      </c>
      <c r="M23" s="3">
        <v>750</v>
      </c>
    </row>
    <row r="24" spans="1:13" x14ac:dyDescent="0.3">
      <c r="A24" s="26" t="s">
        <v>79</v>
      </c>
      <c r="B24" s="3">
        <f>SUM(B20:B23)</f>
        <v>5025</v>
      </c>
      <c r="C24" s="3">
        <f t="shared" ref="C24:M24" si="0">SUM(C20:C23)</f>
        <v>5225</v>
      </c>
      <c r="D24" s="3">
        <f t="shared" si="0"/>
        <v>4525</v>
      </c>
      <c r="E24" s="3">
        <f t="shared" si="0"/>
        <v>4875</v>
      </c>
      <c r="F24" s="3">
        <f t="shared" si="0"/>
        <v>5325</v>
      </c>
      <c r="G24" s="3">
        <f t="shared" si="0"/>
        <v>6025</v>
      </c>
      <c r="H24" s="3">
        <f t="shared" si="0"/>
        <v>5825</v>
      </c>
      <c r="I24" s="3">
        <f t="shared" si="0"/>
        <v>4475</v>
      </c>
      <c r="J24" s="3">
        <f t="shared" si="0"/>
        <v>5775</v>
      </c>
      <c r="K24" s="3">
        <f t="shared" si="0"/>
        <v>5225</v>
      </c>
      <c r="L24" s="3">
        <f t="shared" si="0"/>
        <v>5625</v>
      </c>
      <c r="M24" s="3">
        <f t="shared" si="0"/>
        <v>5645</v>
      </c>
    </row>
    <row r="25" spans="1:13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">
      <c r="A26" s="25" t="s">
        <v>80</v>
      </c>
      <c r="B26" s="3">
        <f>B17+B24</f>
        <v>8201.7360000000008</v>
      </c>
      <c r="C26" s="3">
        <f>C17+C24</f>
        <v>8200.7420000000002</v>
      </c>
      <c r="D26" s="3">
        <f>D17+D24</f>
        <v>7695.7360000000008</v>
      </c>
      <c r="E26" s="3">
        <f>E17+E24</f>
        <v>8072.7209999999995</v>
      </c>
      <c r="F26" s="3">
        <f>F17+F24</f>
        <v>8209.2510000000002</v>
      </c>
      <c r="G26" s="3">
        <f>G17+G24</f>
        <v>9321.7090000000007</v>
      </c>
      <c r="H26" s="3">
        <f>H17+H24</f>
        <v>9034.7209999999995</v>
      </c>
      <c r="I26" s="3">
        <f>I17+I24</f>
        <v>7158.2720000000008</v>
      </c>
      <c r="J26" s="3">
        <f>J17+J24</f>
        <v>9199.1880000000001</v>
      </c>
      <c r="K26" s="3">
        <f>K17+K24</f>
        <v>8365.726999999999</v>
      </c>
      <c r="L26" s="3">
        <f>L17+L24</f>
        <v>9014.7209999999995</v>
      </c>
      <c r="M26" s="3">
        <f>M17+M24</f>
        <v>8998.7150000000001</v>
      </c>
    </row>
    <row r="27" spans="1:13" x14ac:dyDescent="0.3">
      <c r="A27" s="2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3">
      <c r="A28" s="25" t="s">
        <v>85</v>
      </c>
      <c r="B28" s="3">
        <f>B10</f>
        <v>10589.12</v>
      </c>
      <c r="C28" s="3">
        <f>C10</f>
        <v>9919.14</v>
      </c>
      <c r="D28" s="3">
        <f>D10</f>
        <v>10569.12</v>
      </c>
      <c r="E28" s="3">
        <f>E10</f>
        <v>10659.07</v>
      </c>
      <c r="F28" s="3">
        <f>F10</f>
        <v>9614.17</v>
      </c>
      <c r="G28" s="3">
        <f>G10</f>
        <v>10989.03</v>
      </c>
      <c r="H28" s="3">
        <f>H10</f>
        <v>10699.07</v>
      </c>
      <c r="I28" s="3">
        <f>I10</f>
        <v>8944.2400000000016</v>
      </c>
      <c r="J28" s="3">
        <f>J10</f>
        <v>11413.96</v>
      </c>
      <c r="K28" s="3">
        <f>K10</f>
        <v>10469.09</v>
      </c>
      <c r="L28" s="3">
        <f>L10</f>
        <v>11299.07</v>
      </c>
      <c r="M28" s="3">
        <f>M10</f>
        <v>11179.050000000001</v>
      </c>
    </row>
    <row r="29" spans="1:13" x14ac:dyDescent="0.3">
      <c r="A29" s="25" t="s">
        <v>86</v>
      </c>
      <c r="B29" s="3">
        <f>B26</f>
        <v>8201.7360000000008</v>
      </c>
      <c r="C29" s="3">
        <f>C26</f>
        <v>8200.7420000000002</v>
      </c>
      <c r="D29" s="3">
        <f>D26</f>
        <v>7695.7360000000008</v>
      </c>
      <c r="E29" s="3">
        <f>E26</f>
        <v>8072.7209999999995</v>
      </c>
      <c r="F29" s="3">
        <f>F26</f>
        <v>8209.2510000000002</v>
      </c>
      <c r="G29" s="3">
        <f>G26</f>
        <v>9321.7090000000007</v>
      </c>
      <c r="H29" s="3">
        <f>H26</f>
        <v>9034.7209999999995</v>
      </c>
      <c r="I29" s="3">
        <f>I26</f>
        <v>7158.2720000000008</v>
      </c>
      <c r="J29" s="3">
        <f>J26</f>
        <v>9199.1880000000001</v>
      </c>
      <c r="K29" s="3">
        <f>K26</f>
        <v>8365.726999999999</v>
      </c>
      <c r="L29" s="3">
        <f>L26</f>
        <v>9014.7209999999995</v>
      </c>
      <c r="M29" s="3">
        <f>M26</f>
        <v>8998.7150000000001</v>
      </c>
    </row>
    <row r="30" spans="1:13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3">
      <c r="A31" s="25" t="s">
        <v>81</v>
      </c>
      <c r="B31" s="3">
        <f>B28-B29</f>
        <v>2387.384</v>
      </c>
      <c r="C31" s="3">
        <f>C28-C29</f>
        <v>1718.3979999999992</v>
      </c>
      <c r="D31" s="3">
        <f>D28-D29</f>
        <v>2873.384</v>
      </c>
      <c r="E31" s="3">
        <f>E28-E29</f>
        <v>2586.3490000000002</v>
      </c>
      <c r="F31" s="3">
        <f>F28-F29</f>
        <v>1404.9189999999999</v>
      </c>
      <c r="G31" s="3">
        <f>G28-G29</f>
        <v>1667.3209999999999</v>
      </c>
      <c r="H31" s="3">
        <f>H28-H29</f>
        <v>1664.3490000000002</v>
      </c>
      <c r="I31" s="3">
        <f>I28-I29</f>
        <v>1785.9680000000008</v>
      </c>
      <c r="J31" s="3">
        <f>J28-J29</f>
        <v>2214.771999999999</v>
      </c>
      <c r="K31" s="3">
        <f>K28-K29</f>
        <v>2103.3630000000012</v>
      </c>
      <c r="L31" s="3">
        <f>L28-L29</f>
        <v>2284.3490000000002</v>
      </c>
      <c r="M31" s="3">
        <f>M28-M29</f>
        <v>2180.3350000000009</v>
      </c>
    </row>
    <row r="32" spans="1:13" x14ac:dyDescent="0.3">
      <c r="A32" s="3" t="s">
        <v>82</v>
      </c>
      <c r="B32" s="3">
        <f>'Income Statement Year 1'!B25</f>
        <v>754.27639999999997</v>
      </c>
      <c r="C32" s="3">
        <f>'Income Statement Year 1'!C25</f>
        <v>1035.6382999999994</v>
      </c>
      <c r="D32" s="3">
        <f>'Income Statement Year 1'!D25</f>
        <v>2017.3764000000001</v>
      </c>
      <c r="E32" s="3">
        <f>'Income Statement Year 1'!E25</f>
        <v>1773.3966500000001</v>
      </c>
      <c r="F32" s="3">
        <f>'Income Statement Year 1'!F25</f>
        <v>769.18114999999989</v>
      </c>
      <c r="G32" s="3">
        <f>'Income Statement Year 1'!G25</f>
        <v>992.22284999999988</v>
      </c>
      <c r="H32" s="3">
        <f>'Income Statement Year 1'!H25</f>
        <v>989.69665000000009</v>
      </c>
      <c r="I32" s="3">
        <f>'Income Statement Year 1'!I25</f>
        <v>1093.0728000000006</v>
      </c>
      <c r="J32" s="3">
        <f>'Income Statement Year 1'!J25</f>
        <v>1457.5561999999991</v>
      </c>
      <c r="K32" s="3">
        <f>'Income Statement Year 1'!K25</f>
        <v>1362.8585500000004</v>
      </c>
      <c r="L32" s="3">
        <f>'Income Statement Year 1'!L25</f>
        <v>1516.6966500000001</v>
      </c>
      <c r="M32" s="3">
        <f>'Income Statement Year 1'!M25</f>
        <v>1428.2847500000007</v>
      </c>
    </row>
    <row r="33" spans="1:13" x14ac:dyDescent="0.3">
      <c r="A33" s="25" t="s">
        <v>83</v>
      </c>
      <c r="B33" s="25">
        <f>B31-B32</f>
        <v>1633.1076</v>
      </c>
      <c r="C33" s="25">
        <f t="shared" ref="C33:M33" si="1">C31-C32</f>
        <v>682.75969999999984</v>
      </c>
      <c r="D33" s="25">
        <f t="shared" si="1"/>
        <v>856.00759999999991</v>
      </c>
      <c r="E33" s="25">
        <f t="shared" si="1"/>
        <v>812.95235000000002</v>
      </c>
      <c r="F33" s="25">
        <f t="shared" si="1"/>
        <v>635.73784999999998</v>
      </c>
      <c r="G33" s="25">
        <f t="shared" si="1"/>
        <v>675.09815000000003</v>
      </c>
      <c r="H33" s="25">
        <f t="shared" si="1"/>
        <v>674.65235000000007</v>
      </c>
      <c r="I33" s="25">
        <f t="shared" si="1"/>
        <v>692.89520000000016</v>
      </c>
      <c r="J33" s="25">
        <f t="shared" si="1"/>
        <v>757.21579999999994</v>
      </c>
      <c r="K33" s="25">
        <f t="shared" si="1"/>
        <v>740.50445000000082</v>
      </c>
      <c r="L33" s="25">
        <f t="shared" si="1"/>
        <v>767.65235000000007</v>
      </c>
      <c r="M33" s="25">
        <f t="shared" si="1"/>
        <v>752.05025000000023</v>
      </c>
    </row>
    <row r="34" spans="1:13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</sheetData>
  <mergeCells count="1">
    <mergeCell ref="D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BCFF-3528-4B94-917F-AB0CC9F3BA62}">
  <dimension ref="A1:E22"/>
  <sheetViews>
    <sheetView workbookViewId="0">
      <selection activeCell="C16" sqref="C16"/>
    </sheetView>
  </sheetViews>
  <sheetFormatPr defaultRowHeight="14.4" x14ac:dyDescent="0.3"/>
  <cols>
    <col min="1" max="1" width="44.44140625" bestFit="1" customWidth="1"/>
    <col min="3" max="3" width="21.33203125" bestFit="1" customWidth="1"/>
  </cols>
  <sheetData>
    <row r="1" spans="1:5" x14ac:dyDescent="0.3">
      <c r="A1" s="33" t="s">
        <v>89</v>
      </c>
      <c r="B1" s="33"/>
      <c r="C1" s="33"/>
      <c r="D1" s="33"/>
      <c r="E1" s="29"/>
    </row>
    <row r="3" spans="1:5" x14ac:dyDescent="0.3">
      <c r="A3" s="34" t="s">
        <v>90</v>
      </c>
      <c r="B3" s="34" t="s">
        <v>91</v>
      </c>
      <c r="C3" s="34" t="s">
        <v>92</v>
      </c>
      <c r="D3" s="34" t="s">
        <v>91</v>
      </c>
    </row>
    <row r="4" spans="1:5" x14ac:dyDescent="0.3">
      <c r="A4" s="26" t="s">
        <v>93</v>
      </c>
      <c r="B4" s="26"/>
      <c r="C4" s="26" t="s">
        <v>92</v>
      </c>
      <c r="D4" s="3"/>
    </row>
    <row r="5" spans="1:5" x14ac:dyDescent="0.3">
      <c r="A5" s="3" t="s">
        <v>94</v>
      </c>
      <c r="B5" s="3">
        <v>8928.5833999999995</v>
      </c>
      <c r="C5" s="3" t="s">
        <v>99</v>
      </c>
      <c r="D5" s="3">
        <v>9000</v>
      </c>
    </row>
    <row r="6" spans="1:5" x14ac:dyDescent="0.3">
      <c r="A6" s="30" t="s">
        <v>74</v>
      </c>
      <c r="B6" s="3">
        <v>37903.239000000001</v>
      </c>
      <c r="C6" s="3"/>
      <c r="D6" s="3"/>
    </row>
    <row r="7" spans="1:5" x14ac:dyDescent="0.3">
      <c r="A7" s="32" t="s">
        <v>97</v>
      </c>
      <c r="B7" s="25">
        <f>B5+B6</f>
        <v>46831.822400000005</v>
      </c>
      <c r="C7" s="25" t="s">
        <v>100</v>
      </c>
      <c r="D7" s="25">
        <v>9000</v>
      </c>
    </row>
    <row r="8" spans="1:5" x14ac:dyDescent="0.3">
      <c r="A8" s="3"/>
      <c r="B8" s="3"/>
      <c r="C8" s="3"/>
      <c r="D8" s="3"/>
    </row>
    <row r="9" spans="1:5" x14ac:dyDescent="0.3">
      <c r="A9" s="3"/>
      <c r="B9" s="3"/>
      <c r="C9" s="26" t="s">
        <v>95</v>
      </c>
      <c r="D9" s="3"/>
    </row>
    <row r="10" spans="1:5" x14ac:dyDescent="0.3">
      <c r="A10" s="3"/>
      <c r="B10" s="3"/>
      <c r="C10" s="35" t="s">
        <v>102</v>
      </c>
      <c r="D10" s="35">
        <v>37826.82</v>
      </c>
    </row>
    <row r="11" spans="1:5" x14ac:dyDescent="0.3">
      <c r="A11" s="3"/>
      <c r="B11" s="3"/>
      <c r="C11" s="3"/>
      <c r="D11" s="3"/>
    </row>
    <row r="12" spans="1:5" x14ac:dyDescent="0.3">
      <c r="A12" s="31" t="s">
        <v>98</v>
      </c>
      <c r="B12" s="25">
        <f>B7</f>
        <v>46831.822400000005</v>
      </c>
      <c r="C12" s="25" t="s">
        <v>101</v>
      </c>
      <c r="D12" s="25">
        <f>D7+D10</f>
        <v>46826.82</v>
      </c>
    </row>
    <row r="13" spans="1:5" x14ac:dyDescent="0.3">
      <c r="A13" s="24"/>
      <c r="B13" s="24"/>
    </row>
    <row r="14" spans="1:5" x14ac:dyDescent="0.3">
      <c r="A14" s="24"/>
      <c r="B14" s="24"/>
    </row>
    <row r="15" spans="1:5" x14ac:dyDescent="0.3">
      <c r="A15" s="24"/>
      <c r="B15" s="24"/>
    </row>
    <row r="16" spans="1:5" x14ac:dyDescent="0.3">
      <c r="A16" s="24"/>
      <c r="B16" s="24"/>
    </row>
    <row r="17" spans="1:2" x14ac:dyDescent="0.3">
      <c r="A17" s="24"/>
      <c r="B17" s="24"/>
    </row>
    <row r="18" spans="1:2" x14ac:dyDescent="0.3">
      <c r="A18" s="24"/>
      <c r="B18" s="24"/>
    </row>
    <row r="19" spans="1:2" x14ac:dyDescent="0.3">
      <c r="A19" s="24"/>
      <c r="B19" s="24"/>
    </row>
    <row r="20" spans="1:2" x14ac:dyDescent="0.3">
      <c r="A20" s="24"/>
      <c r="B20" s="24"/>
    </row>
    <row r="21" spans="1:2" x14ac:dyDescent="0.3">
      <c r="A21" s="24"/>
      <c r="B21" s="24"/>
    </row>
    <row r="22" spans="1:2" x14ac:dyDescent="0.3">
      <c r="A22" s="24"/>
      <c r="B22" s="24"/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9738-72D9-4E37-8FEF-11515F63D8C0}">
  <dimension ref="A1:S25"/>
  <sheetViews>
    <sheetView workbookViewId="0">
      <selection activeCell="P17" sqref="P17"/>
    </sheetView>
  </sheetViews>
  <sheetFormatPr defaultRowHeight="14.4" x14ac:dyDescent="0.3"/>
  <cols>
    <col min="1" max="1" width="23.109375" bestFit="1" customWidth="1"/>
    <col min="14" max="14" width="11.6640625" bestFit="1" customWidth="1"/>
    <col min="18" max="18" width="8" bestFit="1" customWidth="1"/>
    <col min="19" max="19" width="18.88671875" bestFit="1" customWidth="1"/>
  </cols>
  <sheetData>
    <row r="1" spans="1:19" x14ac:dyDescent="0.3">
      <c r="E1" s="20" t="s">
        <v>65</v>
      </c>
      <c r="F1" s="20"/>
      <c r="G1" s="20"/>
    </row>
    <row r="3" spans="1:19" x14ac:dyDescent="0.3">
      <c r="A3" s="1" t="s">
        <v>0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1" t="s">
        <v>41</v>
      </c>
      <c r="Q3" s="1" t="s">
        <v>42</v>
      </c>
      <c r="R3" s="1" t="s">
        <v>43</v>
      </c>
      <c r="S3" s="1" t="s">
        <v>44</v>
      </c>
    </row>
    <row r="4" spans="1:19" x14ac:dyDescent="0.3">
      <c r="A4" s="7" t="s">
        <v>45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Q4" s="2">
        <v>159.99</v>
      </c>
      <c r="R4" s="2">
        <v>74.989999999999995</v>
      </c>
      <c r="S4" s="2">
        <v>69.989999999999995</v>
      </c>
    </row>
    <row r="5" spans="1:19" x14ac:dyDescent="0.3">
      <c r="A5" s="8" t="s">
        <v>46</v>
      </c>
      <c r="B5" s="3">
        <f>Q4*52</f>
        <v>8319.48</v>
      </c>
      <c r="C5" s="3">
        <f>Q4*50</f>
        <v>7999.5</v>
      </c>
      <c r="D5" s="3">
        <f>Q4*49</f>
        <v>7839.51</v>
      </c>
      <c r="E5" s="3">
        <f>Q4*49</f>
        <v>7839.51</v>
      </c>
      <c r="F5" s="3">
        <f>Q4*46</f>
        <v>7359.5400000000009</v>
      </c>
      <c r="G5" s="3">
        <f>Q4*58</f>
        <v>9279.42</v>
      </c>
      <c r="H5" s="3">
        <f>Q4*42</f>
        <v>6719.58</v>
      </c>
      <c r="I5" s="3">
        <f>Q4*47</f>
        <v>7519.5300000000007</v>
      </c>
      <c r="J5" s="3">
        <f>Q4*49</f>
        <v>7839.51</v>
      </c>
      <c r="K5" s="3">
        <f>Q4*54</f>
        <v>8639.4600000000009</v>
      </c>
      <c r="L5" s="3">
        <f>Q4*55</f>
        <v>8799.4500000000007</v>
      </c>
      <c r="M5" s="3">
        <f>Q4*51</f>
        <v>8159.4900000000007</v>
      </c>
      <c r="N5" s="3">
        <f>B5+C5+D5+E5+F5+G5+H5+I5+J5+K5+L5+M5</f>
        <v>96313.98000000001</v>
      </c>
    </row>
    <row r="6" spans="1:19" x14ac:dyDescent="0.3">
      <c r="A6" s="8" t="s">
        <v>47</v>
      </c>
      <c r="B6" s="3">
        <f>R4*28</f>
        <v>2099.7199999999998</v>
      </c>
      <c r="C6" s="3">
        <f>R4*26</f>
        <v>1949.7399999999998</v>
      </c>
      <c r="D6" s="3">
        <f>R4*19</f>
        <v>1424.81</v>
      </c>
      <c r="E6" s="3">
        <f>R4*15</f>
        <v>1124.8499999999999</v>
      </c>
      <c r="F6" s="3">
        <f>R4*16</f>
        <v>1199.8399999999999</v>
      </c>
      <c r="G6" s="3">
        <f>R4*22</f>
        <v>1649.78</v>
      </c>
      <c r="H6" s="3">
        <f>R4*23</f>
        <v>1724.77</v>
      </c>
      <c r="I6" s="3">
        <f>R4*22</f>
        <v>1649.78</v>
      </c>
      <c r="J6" s="3">
        <f>R4*31</f>
        <v>2324.69</v>
      </c>
      <c r="K6" s="3">
        <f>R4*32</f>
        <v>2399.6799999999998</v>
      </c>
      <c r="L6" s="3">
        <f>R4*26</f>
        <v>1949.7399999999998</v>
      </c>
      <c r="M6" s="3">
        <f>R4*27</f>
        <v>2024.7299999999998</v>
      </c>
      <c r="N6" s="3">
        <f>B6+C6+D6+E6+F6+G6+H6+I6+J6+K6+L6+M6</f>
        <v>21522.13</v>
      </c>
    </row>
    <row r="7" spans="1:19" x14ac:dyDescent="0.3">
      <c r="A7" s="8" t="s">
        <v>48</v>
      </c>
      <c r="B7" s="3">
        <f>S4*12</f>
        <v>839.87999999999988</v>
      </c>
      <c r="C7" s="3">
        <f>S4*23</f>
        <v>1609.77</v>
      </c>
      <c r="D7" s="3">
        <f>S4*20</f>
        <v>1399.8</v>
      </c>
      <c r="E7" s="3">
        <f>S4*30</f>
        <v>2099.6999999999998</v>
      </c>
      <c r="F7" s="3">
        <f>S4*21</f>
        <v>1469.79</v>
      </c>
      <c r="G7" s="3">
        <f>S4*10</f>
        <v>699.9</v>
      </c>
      <c r="H7" s="3">
        <f>S4*19</f>
        <v>1329.81</v>
      </c>
      <c r="I7" s="3">
        <f>S4*12</f>
        <v>839.87999999999988</v>
      </c>
      <c r="J7" s="3">
        <f>S4*22</f>
        <v>1539.78</v>
      </c>
      <c r="K7" s="3">
        <f>S4*22</f>
        <v>1539.78</v>
      </c>
      <c r="L7" s="3">
        <f>S4*21</f>
        <v>1469.79</v>
      </c>
      <c r="M7" s="3">
        <f>S4*25</f>
        <v>1749.7499999999998</v>
      </c>
      <c r="N7" s="3">
        <f>B7+C7+D7+E7+F7+G7+H7+I7+J7+K7+L7+M7</f>
        <v>16587.63</v>
      </c>
    </row>
    <row r="8" spans="1:19" x14ac:dyDescent="0.3">
      <c r="A8" s="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9" s="4" customFormat="1" x14ac:dyDescent="0.3">
      <c r="A9" s="9" t="s">
        <v>49</v>
      </c>
      <c r="B9" s="5">
        <f t="shared" ref="B9:N9" si="0">SUM(B5:B7)</f>
        <v>11259.079999999998</v>
      </c>
      <c r="C9" s="5">
        <f t="shared" si="0"/>
        <v>11559.01</v>
      </c>
      <c r="D9" s="5">
        <f t="shared" si="0"/>
        <v>10664.119999999999</v>
      </c>
      <c r="E9" s="5">
        <f t="shared" si="0"/>
        <v>11064.060000000001</v>
      </c>
      <c r="F9" s="5">
        <f t="shared" si="0"/>
        <v>10029.170000000002</v>
      </c>
      <c r="G9" s="5">
        <f t="shared" si="0"/>
        <v>11629.1</v>
      </c>
      <c r="H9" s="5">
        <f t="shared" si="0"/>
        <v>9774.16</v>
      </c>
      <c r="I9" s="5">
        <f t="shared" si="0"/>
        <v>10009.19</v>
      </c>
      <c r="J9" s="5">
        <f t="shared" si="0"/>
        <v>11703.980000000001</v>
      </c>
      <c r="K9" s="5">
        <f t="shared" si="0"/>
        <v>12578.920000000002</v>
      </c>
      <c r="L9" s="5">
        <f t="shared" si="0"/>
        <v>12218.98</v>
      </c>
      <c r="M9" s="5">
        <f t="shared" si="0"/>
        <v>11933.970000000001</v>
      </c>
      <c r="N9" s="5">
        <f t="shared" si="0"/>
        <v>134423.74000000002</v>
      </c>
    </row>
    <row r="10" spans="1:19" x14ac:dyDescent="0.3">
      <c r="A10" s="10" t="s">
        <v>50</v>
      </c>
      <c r="B10" s="3">
        <f t="shared" ref="B10:N10" si="1">B9*30%</f>
        <v>3377.7239999999993</v>
      </c>
      <c r="C10" s="3">
        <f t="shared" si="1"/>
        <v>3467.703</v>
      </c>
      <c r="D10" s="3">
        <f t="shared" si="1"/>
        <v>3199.2359999999994</v>
      </c>
      <c r="E10" s="3">
        <f t="shared" si="1"/>
        <v>3319.2180000000003</v>
      </c>
      <c r="F10" s="3">
        <f t="shared" si="1"/>
        <v>3008.7510000000007</v>
      </c>
      <c r="G10" s="3">
        <f t="shared" si="1"/>
        <v>3488.73</v>
      </c>
      <c r="H10" s="3">
        <f t="shared" si="1"/>
        <v>2932.248</v>
      </c>
      <c r="I10" s="3">
        <f t="shared" si="1"/>
        <v>3002.7570000000001</v>
      </c>
      <c r="J10" s="3">
        <f t="shared" si="1"/>
        <v>3511.1940000000004</v>
      </c>
      <c r="K10" s="3">
        <f t="shared" si="1"/>
        <v>3773.6760000000004</v>
      </c>
      <c r="L10" s="3">
        <f t="shared" si="1"/>
        <v>3665.694</v>
      </c>
      <c r="M10" s="3">
        <f t="shared" si="1"/>
        <v>3580.1910000000003</v>
      </c>
      <c r="N10" s="3">
        <f t="shared" si="1"/>
        <v>40327.122000000003</v>
      </c>
    </row>
    <row r="11" spans="1:19" x14ac:dyDescent="0.3">
      <c r="A11" s="1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9" s="4" customFormat="1" x14ac:dyDescent="0.3">
      <c r="A12" s="9" t="s">
        <v>51</v>
      </c>
      <c r="B12" s="5">
        <f t="shared" ref="B12:N12" si="2">B9-B10</f>
        <v>7881.3559999999989</v>
      </c>
      <c r="C12" s="5">
        <f t="shared" si="2"/>
        <v>8091.3070000000007</v>
      </c>
      <c r="D12" s="5">
        <f t="shared" si="2"/>
        <v>7464.884</v>
      </c>
      <c r="E12" s="5">
        <f t="shared" si="2"/>
        <v>7744.8420000000006</v>
      </c>
      <c r="F12" s="5">
        <f t="shared" si="2"/>
        <v>7020.4190000000017</v>
      </c>
      <c r="G12" s="5">
        <f t="shared" si="2"/>
        <v>8140.3700000000008</v>
      </c>
      <c r="H12" s="5">
        <f t="shared" si="2"/>
        <v>6841.9120000000003</v>
      </c>
      <c r="I12" s="5">
        <f t="shared" si="2"/>
        <v>7006.4330000000009</v>
      </c>
      <c r="J12" s="5">
        <f t="shared" si="2"/>
        <v>8192.7860000000001</v>
      </c>
      <c r="K12" s="5">
        <f t="shared" si="2"/>
        <v>8805.2440000000024</v>
      </c>
      <c r="L12" s="5">
        <f t="shared" si="2"/>
        <v>8553.2860000000001</v>
      </c>
      <c r="M12" s="5">
        <f t="shared" si="2"/>
        <v>8353.7790000000005</v>
      </c>
      <c r="N12" s="5">
        <f t="shared" si="2"/>
        <v>94096.618000000017</v>
      </c>
    </row>
    <row r="13" spans="1:19" x14ac:dyDescent="0.3">
      <c r="A13" s="8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9" x14ac:dyDescent="0.3">
      <c r="A14" s="10" t="s">
        <v>52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9" x14ac:dyDescent="0.3">
      <c r="A15" s="8" t="s">
        <v>53</v>
      </c>
      <c r="B15" s="3">
        <v>350</v>
      </c>
      <c r="C15" s="3">
        <v>350</v>
      </c>
      <c r="D15" s="3">
        <v>350</v>
      </c>
      <c r="E15" s="3">
        <v>350</v>
      </c>
      <c r="F15" s="3">
        <v>350</v>
      </c>
      <c r="G15" s="3">
        <v>350</v>
      </c>
      <c r="H15" s="3">
        <v>350</v>
      </c>
      <c r="I15" s="3">
        <v>350</v>
      </c>
      <c r="J15" s="3">
        <v>350</v>
      </c>
      <c r="K15" s="3">
        <v>350</v>
      </c>
      <c r="L15" s="3">
        <v>350</v>
      </c>
      <c r="M15" s="3">
        <v>350</v>
      </c>
      <c r="N15" s="3">
        <f>B15+C15+D15+E15+F15+G15+H15+I15+J15+K15+L15+M15</f>
        <v>4200</v>
      </c>
    </row>
    <row r="16" spans="1:19" x14ac:dyDescent="0.3">
      <c r="A16" s="8" t="s">
        <v>54</v>
      </c>
      <c r="B16" s="3">
        <v>1000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f>B16+C16+D16+E16+F16+G16+H16+I16+J16+K16+L16+M16</f>
        <v>1000</v>
      </c>
    </row>
    <row r="17" spans="1:14" x14ac:dyDescent="0.3">
      <c r="A17" s="8" t="s">
        <v>55</v>
      </c>
      <c r="B17" s="3">
        <v>500</v>
      </c>
      <c r="C17" s="3">
        <v>500</v>
      </c>
      <c r="D17" s="3">
        <v>500</v>
      </c>
      <c r="E17" s="3">
        <v>500</v>
      </c>
      <c r="F17" s="3">
        <v>500</v>
      </c>
      <c r="G17" s="3">
        <v>500</v>
      </c>
      <c r="H17" s="3">
        <v>500</v>
      </c>
      <c r="I17" s="3">
        <v>500</v>
      </c>
      <c r="J17" s="3">
        <v>500</v>
      </c>
      <c r="K17" s="3">
        <v>500</v>
      </c>
      <c r="L17" s="3">
        <v>500</v>
      </c>
      <c r="M17" s="3">
        <v>500</v>
      </c>
      <c r="N17" s="3">
        <f>B17+C17+D17+E17+F17+G17+H17+I17+J17+K17+L17+M17</f>
        <v>6000</v>
      </c>
    </row>
    <row r="18" spans="1:14" x14ac:dyDescent="0.3">
      <c r="A18" s="8" t="s">
        <v>56</v>
      </c>
      <c r="B18" s="3">
        <v>4100</v>
      </c>
      <c r="C18" s="3">
        <v>3900</v>
      </c>
      <c r="D18" s="3">
        <v>3200</v>
      </c>
      <c r="E18" s="3">
        <v>3900</v>
      </c>
      <c r="F18" s="3">
        <v>4000</v>
      </c>
      <c r="G18" s="3">
        <v>5780</v>
      </c>
      <c r="H18" s="3">
        <v>4250</v>
      </c>
      <c r="I18" s="3">
        <v>3100</v>
      </c>
      <c r="J18" s="3">
        <v>4350</v>
      </c>
      <c r="K18" s="3">
        <v>4000</v>
      </c>
      <c r="L18" s="3">
        <v>3560</v>
      </c>
      <c r="M18" s="3">
        <v>3380</v>
      </c>
      <c r="N18" s="3">
        <f>B18+C18+D18+E18+F18+G18+H18+I18+J18+K18+L18+M18</f>
        <v>47520</v>
      </c>
    </row>
    <row r="19" spans="1:14" x14ac:dyDescent="0.3">
      <c r="A19" s="10" t="s">
        <v>57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3">
      <c r="A20" s="8" t="s">
        <v>58</v>
      </c>
      <c r="B20" s="3">
        <f>'Funding Sources'!B3*1.5%</f>
        <v>750</v>
      </c>
      <c r="C20" s="3">
        <f>'Funding Sources'!B3*1.5%</f>
        <v>750</v>
      </c>
      <c r="D20" s="3">
        <f>'Funding Sources'!B3*1.5%</f>
        <v>750</v>
      </c>
      <c r="E20" s="3">
        <f>'Funding Sources'!B3*1.5%</f>
        <v>750</v>
      </c>
      <c r="F20" s="3">
        <f>'Funding Sources'!B3*1.5%</f>
        <v>750</v>
      </c>
      <c r="G20" s="3">
        <f>'Funding Sources'!B3*1.5%</f>
        <v>750</v>
      </c>
      <c r="H20" s="3">
        <f>'Funding Sources'!B3*1.5%</f>
        <v>750</v>
      </c>
      <c r="I20" s="3">
        <f>'Funding Sources'!B3*1.5%</f>
        <v>750</v>
      </c>
      <c r="J20" s="3">
        <f>'Funding Sources'!B3*1.5%</f>
        <v>750</v>
      </c>
      <c r="K20" s="3">
        <f>'Funding Sources'!B3*1.5%</f>
        <v>750</v>
      </c>
      <c r="L20" s="3">
        <f>'Funding Sources'!B3*1.5%</f>
        <v>750</v>
      </c>
      <c r="M20" s="3">
        <f>'Funding Sources'!B3*1.5%</f>
        <v>750</v>
      </c>
      <c r="N20" s="3">
        <f>B20+C20+D20+E20+F20+G20+H20+I20+J20+K20+L20+M20</f>
        <v>9000</v>
      </c>
    </row>
    <row r="21" spans="1:14" x14ac:dyDescent="0.3">
      <c r="A21" s="10" t="s">
        <v>62</v>
      </c>
      <c r="B21" s="3">
        <f t="shared" ref="B21:M21" si="3">SUM(B15:B20)</f>
        <v>6700</v>
      </c>
      <c r="C21" s="3">
        <f t="shared" si="3"/>
        <v>5500</v>
      </c>
      <c r="D21" s="3">
        <f t="shared" si="3"/>
        <v>4800</v>
      </c>
      <c r="E21" s="3">
        <f t="shared" si="3"/>
        <v>5500</v>
      </c>
      <c r="F21" s="3">
        <f t="shared" si="3"/>
        <v>5600</v>
      </c>
      <c r="G21" s="3">
        <f t="shared" si="3"/>
        <v>7380</v>
      </c>
      <c r="H21" s="3">
        <f t="shared" si="3"/>
        <v>5850</v>
      </c>
      <c r="I21" s="3">
        <f t="shared" si="3"/>
        <v>4700</v>
      </c>
      <c r="J21" s="3">
        <f t="shared" si="3"/>
        <v>5950</v>
      </c>
      <c r="K21" s="3">
        <f t="shared" si="3"/>
        <v>5600</v>
      </c>
      <c r="L21" s="3">
        <f t="shared" si="3"/>
        <v>5160</v>
      </c>
      <c r="M21" s="3">
        <f t="shared" si="3"/>
        <v>4980</v>
      </c>
      <c r="N21" s="3">
        <f>B21+C21+D21+E21+F21+G21+H21+I21+J21+K21+L21+M21</f>
        <v>67720</v>
      </c>
    </row>
    <row r="22" spans="1:14" x14ac:dyDescent="0.3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3">
      <c r="A23" s="10" t="s">
        <v>59</v>
      </c>
      <c r="B23" s="3">
        <f t="shared" ref="B23:M23" si="4">B12-B21</f>
        <v>1181.3559999999989</v>
      </c>
      <c r="C23" s="3">
        <f t="shared" si="4"/>
        <v>2591.3070000000007</v>
      </c>
      <c r="D23" s="3">
        <f t="shared" si="4"/>
        <v>2664.884</v>
      </c>
      <c r="E23" s="3">
        <f t="shared" si="4"/>
        <v>2244.8420000000006</v>
      </c>
      <c r="F23" s="3">
        <f t="shared" si="4"/>
        <v>1420.4190000000017</v>
      </c>
      <c r="G23" s="3">
        <f t="shared" si="4"/>
        <v>760.3700000000008</v>
      </c>
      <c r="H23" s="3">
        <f t="shared" si="4"/>
        <v>991.91200000000026</v>
      </c>
      <c r="I23" s="3">
        <f t="shared" si="4"/>
        <v>2306.4330000000009</v>
      </c>
      <c r="J23" s="3">
        <f t="shared" si="4"/>
        <v>2242.7860000000001</v>
      </c>
      <c r="K23" s="3">
        <f t="shared" si="4"/>
        <v>3205.2440000000024</v>
      </c>
      <c r="L23" s="3">
        <f t="shared" si="4"/>
        <v>3393.2860000000001</v>
      </c>
      <c r="M23" s="3">
        <f t="shared" si="4"/>
        <v>3373.7790000000005</v>
      </c>
      <c r="N23" s="3">
        <f>B23+C23+D23+E23+F23+G23+H23+I23+J23+K23+L23+M23</f>
        <v>26376.618000000002</v>
      </c>
    </row>
    <row r="24" spans="1:14" ht="15" thickBot="1" x14ac:dyDescent="0.35">
      <c r="A24" s="11" t="s">
        <v>60</v>
      </c>
      <c r="B24" s="12">
        <f t="shared" ref="B24:M24" si="5">B23*15%</f>
        <v>177.20339999999982</v>
      </c>
      <c r="C24" s="12">
        <f t="shared" si="5"/>
        <v>388.69605000000007</v>
      </c>
      <c r="D24" s="12">
        <f t="shared" si="5"/>
        <v>399.73259999999999</v>
      </c>
      <c r="E24" s="12">
        <f t="shared" si="5"/>
        <v>336.72630000000009</v>
      </c>
      <c r="F24" s="12">
        <f t="shared" si="5"/>
        <v>213.06285000000025</v>
      </c>
      <c r="G24" s="12">
        <f t="shared" si="5"/>
        <v>114.05550000000012</v>
      </c>
      <c r="H24" s="12">
        <f t="shared" si="5"/>
        <v>148.78680000000003</v>
      </c>
      <c r="I24" s="12">
        <f t="shared" si="5"/>
        <v>345.9649500000001</v>
      </c>
      <c r="J24" s="12">
        <f t="shared" si="5"/>
        <v>336.41789999999997</v>
      </c>
      <c r="K24" s="12">
        <f t="shared" si="5"/>
        <v>480.78660000000036</v>
      </c>
      <c r="L24" s="12">
        <f t="shared" si="5"/>
        <v>508.99289999999996</v>
      </c>
      <c r="M24" s="12">
        <f t="shared" si="5"/>
        <v>506.06685000000004</v>
      </c>
      <c r="N24" s="12">
        <f>B24+C24+D24+E24+F24+G24+H24+I24+J24+K24+L24+M24</f>
        <v>3956.4927000000007</v>
      </c>
    </row>
    <row r="25" spans="1:14" ht="15" thickBot="1" x14ac:dyDescent="0.35">
      <c r="A25" s="13" t="s">
        <v>61</v>
      </c>
      <c r="B25" s="14">
        <f t="shared" ref="B25:M25" si="6">B23-B24</f>
        <v>1004.152599999999</v>
      </c>
      <c r="C25" s="14">
        <f t="shared" si="6"/>
        <v>2202.6109500000007</v>
      </c>
      <c r="D25" s="14">
        <f t="shared" si="6"/>
        <v>2265.1514000000002</v>
      </c>
      <c r="E25" s="14">
        <f t="shared" si="6"/>
        <v>1908.1157000000005</v>
      </c>
      <c r="F25" s="14">
        <f t="shared" si="6"/>
        <v>1207.3561500000014</v>
      </c>
      <c r="G25" s="14">
        <f t="shared" si="6"/>
        <v>646.31450000000063</v>
      </c>
      <c r="H25" s="14">
        <f t="shared" si="6"/>
        <v>843.12520000000018</v>
      </c>
      <c r="I25" s="14">
        <f t="shared" si="6"/>
        <v>1960.4680500000009</v>
      </c>
      <c r="J25" s="14">
        <f t="shared" si="6"/>
        <v>1906.3681000000001</v>
      </c>
      <c r="K25" s="14">
        <f t="shared" si="6"/>
        <v>2724.4574000000021</v>
      </c>
      <c r="L25" s="14">
        <f t="shared" si="6"/>
        <v>2884.2930999999999</v>
      </c>
      <c r="M25" s="14">
        <f t="shared" si="6"/>
        <v>2867.7121500000003</v>
      </c>
      <c r="N25" s="15">
        <f>B25+C25+D25+E25+F25+G25+H25+I25+J25+K25+L25+M25</f>
        <v>22420.125300000003</v>
      </c>
    </row>
  </sheetData>
  <mergeCells count="1">
    <mergeCell ref="E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8F69-C8B1-46D0-B51F-F5431F976D29}">
  <dimension ref="A1:N34"/>
  <sheetViews>
    <sheetView zoomScale="80" zoomScaleNormal="80" workbookViewId="0">
      <selection activeCell="Q20" sqref="Q20"/>
    </sheetView>
  </sheetViews>
  <sheetFormatPr defaultRowHeight="14.4" x14ac:dyDescent="0.3"/>
  <cols>
    <col min="1" max="1" width="34.88671875" bestFit="1" customWidth="1"/>
  </cols>
  <sheetData>
    <row r="1" spans="1:14" ht="15" thickBot="1" x14ac:dyDescent="0.35">
      <c r="D1" s="21" t="s">
        <v>84</v>
      </c>
      <c r="E1" s="22"/>
      <c r="F1" s="22"/>
      <c r="G1" s="22"/>
      <c r="H1" s="23"/>
    </row>
    <row r="3" spans="1:14" x14ac:dyDescent="0.3">
      <c r="A3" s="28" t="s">
        <v>0</v>
      </c>
      <c r="B3" s="28" t="s">
        <v>29</v>
      </c>
      <c r="C3" s="28" t="s">
        <v>30</v>
      </c>
      <c r="D3" s="28" t="s">
        <v>31</v>
      </c>
      <c r="E3" s="28" t="s">
        <v>32</v>
      </c>
      <c r="F3" s="28" t="s">
        <v>33</v>
      </c>
      <c r="G3" s="28" t="s">
        <v>34</v>
      </c>
      <c r="H3" s="28" t="s">
        <v>35</v>
      </c>
      <c r="I3" s="28" t="s">
        <v>36</v>
      </c>
      <c r="J3" s="28" t="s">
        <v>37</v>
      </c>
      <c r="K3" s="28" t="s">
        <v>38</v>
      </c>
      <c r="L3" s="28" t="s">
        <v>39</v>
      </c>
      <c r="M3" s="28" t="s">
        <v>40</v>
      </c>
    </row>
    <row r="4" spans="1:14" x14ac:dyDescent="0.3">
      <c r="A4" s="25" t="s">
        <v>67</v>
      </c>
      <c r="B4" s="3">
        <f>'Cash Flow Year 1'!M33</f>
        <v>752.05025000000023</v>
      </c>
      <c r="C4" s="3">
        <f>B33</f>
        <v>1089.2074000000016</v>
      </c>
      <c r="D4" s="3">
        <f>C33</f>
        <v>206.19605000000001</v>
      </c>
      <c r="E4" s="3">
        <f>D33</f>
        <v>280.23260000000073</v>
      </c>
      <c r="F4" s="3">
        <f>E33</f>
        <v>126.22629999999913</v>
      </c>
      <c r="G4" s="3">
        <f>F33</f>
        <v>114.56284999999843</v>
      </c>
      <c r="H4" s="3">
        <f>G33</f>
        <v>26.055500000000166</v>
      </c>
      <c r="I4" s="3">
        <f>H33</f>
        <v>74.786800000000085</v>
      </c>
      <c r="J4" s="3">
        <f>I33</f>
        <v>313.96495000000004</v>
      </c>
      <c r="K4" s="3">
        <f>J33</f>
        <v>153.91789999999992</v>
      </c>
      <c r="L4" s="3">
        <f>K33</f>
        <v>259.78659999999854</v>
      </c>
      <c r="M4" s="3">
        <f>L33</f>
        <v>312.49290000000019</v>
      </c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x14ac:dyDescent="0.3">
      <c r="A6" s="25" t="s">
        <v>68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 x14ac:dyDescent="0.3">
      <c r="A7" s="3" t="s">
        <v>69</v>
      </c>
      <c r="B7" s="3">
        <v>10419.08</v>
      </c>
      <c r="C7" s="3">
        <v>10584.01</v>
      </c>
      <c r="D7" s="3">
        <v>9779.1200000000008</v>
      </c>
      <c r="E7" s="3">
        <v>10049.06</v>
      </c>
      <c r="F7" s="3">
        <v>9174.17</v>
      </c>
      <c r="G7" s="3">
        <v>10789.1</v>
      </c>
      <c r="H7" s="3">
        <v>8954.16</v>
      </c>
      <c r="I7" s="3">
        <v>9249.19</v>
      </c>
      <c r="J7" s="3">
        <v>10728.98</v>
      </c>
      <c r="K7" s="3">
        <v>11548.92</v>
      </c>
      <c r="L7" s="3">
        <v>11223.98</v>
      </c>
      <c r="M7" s="3">
        <v>10913.97</v>
      </c>
    </row>
    <row r="8" spans="1:14" x14ac:dyDescent="0.3">
      <c r="A8" s="3" t="s">
        <v>70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</row>
    <row r="9" spans="1:14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4" x14ac:dyDescent="0.3">
      <c r="A10" s="25" t="s">
        <v>71</v>
      </c>
      <c r="B10" s="3">
        <f>B7+B8</f>
        <v>10419.08</v>
      </c>
      <c r="C10" s="3">
        <f>C7+C8</f>
        <v>10584.01</v>
      </c>
      <c r="D10" s="3">
        <f>D7+D8</f>
        <v>9779.1200000000008</v>
      </c>
      <c r="E10" s="3">
        <f>E7+E8</f>
        <v>10049.06</v>
      </c>
      <c r="F10" s="3">
        <f>F7+F8</f>
        <v>9174.17</v>
      </c>
      <c r="G10" s="3">
        <f>G7+G8</f>
        <v>10789.1</v>
      </c>
      <c r="H10" s="3">
        <f>H7+H8</f>
        <v>8954.16</v>
      </c>
      <c r="I10" s="3">
        <f>I7+I8</f>
        <v>9249.19</v>
      </c>
      <c r="J10" s="3">
        <f>J7+J8</f>
        <v>10728.98</v>
      </c>
      <c r="K10" s="3">
        <f>K7+K8</f>
        <v>11548.92</v>
      </c>
      <c r="L10" s="3">
        <f>L7+L8</f>
        <v>11223.98</v>
      </c>
      <c r="M10" s="3">
        <f>M7+M8</f>
        <v>10913.97</v>
      </c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4" x14ac:dyDescent="0.3">
      <c r="A12" s="25" t="s">
        <v>72</v>
      </c>
      <c r="B12" s="3">
        <f>B4+B10</f>
        <v>11171.13025</v>
      </c>
      <c r="C12" s="3">
        <f>C4+C10</f>
        <v>11673.217400000001</v>
      </c>
      <c r="D12" s="3">
        <f>D4+D10</f>
        <v>9985.3160500000013</v>
      </c>
      <c r="E12" s="3">
        <f>E4+E10</f>
        <v>10329.292600000001</v>
      </c>
      <c r="F12" s="3">
        <f>F4+F10</f>
        <v>9300.3962999999985</v>
      </c>
      <c r="G12" s="3">
        <f>G4+G10</f>
        <v>10903.662849999999</v>
      </c>
      <c r="H12" s="3">
        <f>H4+H10</f>
        <v>8980.2155000000002</v>
      </c>
      <c r="I12" s="3">
        <f>I4+I10</f>
        <v>9323.9768000000004</v>
      </c>
      <c r="J12" s="3">
        <f>J4+J10</f>
        <v>11042.944949999999</v>
      </c>
      <c r="K12" s="3">
        <f>K4+K10</f>
        <v>11702.8379</v>
      </c>
      <c r="L12" s="3">
        <f>L4+L10</f>
        <v>11483.766599999999</v>
      </c>
      <c r="M12" s="3">
        <f>M4+M10</f>
        <v>11226.462899999999</v>
      </c>
    </row>
    <row r="13" spans="1:14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4" x14ac:dyDescent="0.3">
      <c r="A14" s="25" t="s">
        <v>73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4" x14ac:dyDescent="0.3">
      <c r="A15" s="3" t="s">
        <v>74</v>
      </c>
      <c r="B15" s="3">
        <v>3125.72</v>
      </c>
      <c r="C15" s="3">
        <v>3175.203</v>
      </c>
      <c r="D15" s="3">
        <v>2933.7359999999999</v>
      </c>
      <c r="E15" s="3">
        <v>3014.7179999999998</v>
      </c>
      <c r="F15" s="3">
        <v>2752.2510000000002</v>
      </c>
      <c r="G15" s="3">
        <v>3236.73</v>
      </c>
      <c r="H15" s="3">
        <v>2686.248</v>
      </c>
      <c r="I15" s="3">
        <v>2774.7570000000001</v>
      </c>
      <c r="J15" s="3">
        <v>3218.694</v>
      </c>
      <c r="K15" s="3">
        <v>3464.6759999999999</v>
      </c>
      <c r="L15" s="3">
        <v>3367.194</v>
      </c>
      <c r="M15" s="3">
        <v>3274.1909999999998</v>
      </c>
      <c r="N15" s="27"/>
    </row>
    <row r="16" spans="1:14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">
      <c r="A17" s="26" t="s">
        <v>75</v>
      </c>
      <c r="B17" s="3">
        <f>B15+B16</f>
        <v>3125.72</v>
      </c>
      <c r="C17" s="3">
        <f>C15+C16</f>
        <v>3175.203</v>
      </c>
      <c r="D17" s="3">
        <f>D15+D16</f>
        <v>2933.7359999999999</v>
      </c>
      <c r="E17" s="3">
        <f>E15+E16</f>
        <v>3014.7179999999998</v>
      </c>
      <c r="F17" s="3">
        <f>F15+F16</f>
        <v>2752.2510000000002</v>
      </c>
      <c r="G17" s="3">
        <f>G15+G16</f>
        <v>3236.73</v>
      </c>
      <c r="H17" s="3">
        <f>H15+H16</f>
        <v>2686.248</v>
      </c>
      <c r="I17" s="3">
        <f>I15+I16</f>
        <v>2774.7570000000001</v>
      </c>
      <c r="J17" s="3">
        <f>J15+J16</f>
        <v>3218.694</v>
      </c>
      <c r="K17" s="3">
        <f>K15+K16</f>
        <v>3464.6759999999999</v>
      </c>
      <c r="L17" s="3">
        <f>L15+L16</f>
        <v>3367.194</v>
      </c>
      <c r="M17" s="3">
        <f>M15+M16</f>
        <v>3274.1909999999998</v>
      </c>
    </row>
    <row r="18" spans="1:13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">
      <c r="A19" s="25" t="s">
        <v>52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">
      <c r="A20" s="3" t="s">
        <v>76</v>
      </c>
      <c r="B20" s="3">
        <v>350</v>
      </c>
      <c r="C20" s="3">
        <v>350</v>
      </c>
      <c r="D20" s="3">
        <v>350</v>
      </c>
      <c r="E20" s="3">
        <v>350</v>
      </c>
      <c r="F20" s="3">
        <v>350</v>
      </c>
      <c r="G20" s="3">
        <v>350</v>
      </c>
      <c r="H20" s="3">
        <v>350</v>
      </c>
      <c r="I20" s="3">
        <v>350</v>
      </c>
      <c r="J20" s="3">
        <v>350</v>
      </c>
      <c r="K20" s="3">
        <v>350</v>
      </c>
      <c r="L20" s="3">
        <v>350</v>
      </c>
      <c r="M20" s="3">
        <v>350</v>
      </c>
    </row>
    <row r="21" spans="1:13" x14ac:dyDescent="0.3">
      <c r="A21" s="3" t="s">
        <v>77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</row>
    <row r="22" spans="1:13" x14ac:dyDescent="0.3">
      <c r="A22" s="3" t="s">
        <v>78</v>
      </c>
      <c r="B22" s="3">
        <v>4100</v>
      </c>
      <c r="C22" s="3">
        <v>3900</v>
      </c>
      <c r="D22" s="3">
        <v>3200</v>
      </c>
      <c r="E22" s="3">
        <v>3900</v>
      </c>
      <c r="F22" s="3">
        <v>4000</v>
      </c>
      <c r="G22" s="3">
        <v>5780</v>
      </c>
      <c r="H22" s="3">
        <v>4250</v>
      </c>
      <c r="I22" s="3">
        <v>3100</v>
      </c>
      <c r="J22" s="3">
        <v>4350</v>
      </c>
      <c r="K22" s="3">
        <v>4000</v>
      </c>
      <c r="L22" s="3">
        <v>3560</v>
      </c>
      <c r="M22" s="3">
        <v>3380</v>
      </c>
    </row>
    <row r="23" spans="1:13" x14ac:dyDescent="0.3">
      <c r="A23" s="3" t="s">
        <v>96</v>
      </c>
      <c r="B23" s="3">
        <v>750</v>
      </c>
      <c r="C23" s="3">
        <v>750</v>
      </c>
      <c r="D23" s="3">
        <v>750</v>
      </c>
      <c r="E23" s="3">
        <v>750</v>
      </c>
      <c r="F23" s="3">
        <v>750</v>
      </c>
      <c r="G23" s="3">
        <v>750</v>
      </c>
      <c r="H23" s="3">
        <v>750</v>
      </c>
      <c r="I23" s="3">
        <v>750</v>
      </c>
      <c r="J23" s="3">
        <v>750</v>
      </c>
      <c r="K23" s="3">
        <v>750</v>
      </c>
      <c r="L23" s="3">
        <v>750</v>
      </c>
      <c r="M23" s="3">
        <v>750</v>
      </c>
    </row>
    <row r="24" spans="1:13" x14ac:dyDescent="0.3">
      <c r="A24" s="26" t="s">
        <v>79</v>
      </c>
      <c r="B24" s="3">
        <f>SUM(B20:B23)</f>
        <v>5200</v>
      </c>
      <c r="C24" s="3">
        <f t="shared" ref="C24:M24" si="0">SUM(C20:C23)</f>
        <v>5000</v>
      </c>
      <c r="D24" s="3">
        <f t="shared" si="0"/>
        <v>4300</v>
      </c>
      <c r="E24" s="3">
        <f t="shared" si="0"/>
        <v>5000</v>
      </c>
      <c r="F24" s="3">
        <f t="shared" si="0"/>
        <v>5100</v>
      </c>
      <c r="G24" s="3">
        <f t="shared" si="0"/>
        <v>6880</v>
      </c>
      <c r="H24" s="3">
        <f t="shared" si="0"/>
        <v>5350</v>
      </c>
      <c r="I24" s="3">
        <f t="shared" si="0"/>
        <v>4200</v>
      </c>
      <c r="J24" s="3">
        <f t="shared" si="0"/>
        <v>5450</v>
      </c>
      <c r="K24" s="3">
        <f t="shared" si="0"/>
        <v>5100</v>
      </c>
      <c r="L24" s="3">
        <f t="shared" si="0"/>
        <v>4660</v>
      </c>
      <c r="M24" s="3">
        <f t="shared" si="0"/>
        <v>4480</v>
      </c>
    </row>
    <row r="25" spans="1:13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">
      <c r="A26" s="25" t="s">
        <v>80</v>
      </c>
      <c r="B26" s="3">
        <f>B17+B24</f>
        <v>8325.7199999999993</v>
      </c>
      <c r="C26" s="3">
        <f>C17+C24</f>
        <v>8175.2029999999995</v>
      </c>
      <c r="D26" s="3">
        <f>D17+D24</f>
        <v>7233.7359999999999</v>
      </c>
      <c r="E26" s="3">
        <f>E17+E24</f>
        <v>8014.7179999999998</v>
      </c>
      <c r="F26" s="3">
        <f>F17+F24</f>
        <v>7852.2510000000002</v>
      </c>
      <c r="G26" s="3">
        <f>G17+G24</f>
        <v>10116.73</v>
      </c>
      <c r="H26" s="3">
        <f>H17+H24</f>
        <v>8036.2479999999996</v>
      </c>
      <c r="I26" s="3">
        <f>I17+I24</f>
        <v>6974.7569999999996</v>
      </c>
      <c r="J26" s="3">
        <f>J17+J24</f>
        <v>8668.6939999999995</v>
      </c>
      <c r="K26" s="3">
        <f>K17+K24</f>
        <v>8564.6759999999995</v>
      </c>
      <c r="L26" s="3">
        <f>L17+L24</f>
        <v>8027.1939999999995</v>
      </c>
      <c r="M26" s="3">
        <f>M17+M24</f>
        <v>7754.1909999999998</v>
      </c>
    </row>
    <row r="27" spans="1:13" x14ac:dyDescent="0.3">
      <c r="A27" s="2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3">
      <c r="A28" s="25" t="s">
        <v>85</v>
      </c>
      <c r="B28" s="3">
        <f>B10</f>
        <v>10419.08</v>
      </c>
      <c r="C28" s="3">
        <f>C10</f>
        <v>10584.01</v>
      </c>
      <c r="D28" s="3">
        <f>D10</f>
        <v>9779.1200000000008</v>
      </c>
      <c r="E28" s="3">
        <f>E10</f>
        <v>10049.06</v>
      </c>
      <c r="F28" s="3">
        <f>F10</f>
        <v>9174.17</v>
      </c>
      <c r="G28" s="3">
        <f>G10</f>
        <v>10789.1</v>
      </c>
      <c r="H28" s="3">
        <f>H10</f>
        <v>8954.16</v>
      </c>
      <c r="I28" s="3">
        <f>I10</f>
        <v>9249.19</v>
      </c>
      <c r="J28" s="3">
        <f>J10</f>
        <v>10728.98</v>
      </c>
      <c r="K28" s="3">
        <f>K10</f>
        <v>11548.92</v>
      </c>
      <c r="L28" s="3">
        <f>L10</f>
        <v>11223.98</v>
      </c>
      <c r="M28" s="3">
        <f>M10</f>
        <v>10913.97</v>
      </c>
    </row>
    <row r="29" spans="1:13" x14ac:dyDescent="0.3">
      <c r="A29" s="25" t="s">
        <v>86</v>
      </c>
      <c r="B29" s="3">
        <f>B26</f>
        <v>8325.7199999999993</v>
      </c>
      <c r="C29" s="3">
        <f>C26</f>
        <v>8175.2029999999995</v>
      </c>
      <c r="D29" s="3">
        <f>D26</f>
        <v>7233.7359999999999</v>
      </c>
      <c r="E29" s="3">
        <f>E26</f>
        <v>8014.7179999999998</v>
      </c>
      <c r="F29" s="3">
        <f>F26</f>
        <v>7852.2510000000002</v>
      </c>
      <c r="G29" s="3">
        <f>G26</f>
        <v>10116.73</v>
      </c>
      <c r="H29" s="3">
        <f>H26</f>
        <v>8036.2479999999996</v>
      </c>
      <c r="I29" s="3">
        <f>I26</f>
        <v>6974.7569999999996</v>
      </c>
      <c r="J29" s="3">
        <f>J26</f>
        <v>8668.6939999999995</v>
      </c>
      <c r="K29" s="3">
        <f>K26</f>
        <v>8564.6759999999995</v>
      </c>
      <c r="L29" s="3">
        <f>L26</f>
        <v>8027.1939999999995</v>
      </c>
      <c r="M29" s="3">
        <f>M26</f>
        <v>7754.1909999999998</v>
      </c>
    </row>
    <row r="30" spans="1:13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3">
      <c r="A31" s="25" t="s">
        <v>81</v>
      </c>
      <c r="B31" s="3">
        <f>B28-B29</f>
        <v>2093.3600000000006</v>
      </c>
      <c r="C31" s="3">
        <f>C28-C29</f>
        <v>2408.8070000000007</v>
      </c>
      <c r="D31" s="3">
        <f>D28-D29</f>
        <v>2545.3840000000009</v>
      </c>
      <c r="E31" s="3">
        <f>E28-E29</f>
        <v>2034.3419999999996</v>
      </c>
      <c r="F31" s="3">
        <f>F28-F29</f>
        <v>1321.9189999999999</v>
      </c>
      <c r="G31" s="3">
        <f>G28-G29</f>
        <v>672.3700000000008</v>
      </c>
      <c r="H31" s="3">
        <f>H28-H29</f>
        <v>917.91200000000026</v>
      </c>
      <c r="I31" s="3">
        <f>I28-I29</f>
        <v>2274.4330000000009</v>
      </c>
      <c r="J31" s="3">
        <f>J28-J29</f>
        <v>2060.2860000000001</v>
      </c>
      <c r="K31" s="3">
        <f>K28-K29</f>
        <v>2984.2440000000006</v>
      </c>
      <c r="L31" s="3">
        <f>L28-L29</f>
        <v>3196.7860000000001</v>
      </c>
      <c r="M31" s="3">
        <f>M28-M29</f>
        <v>3159.7789999999995</v>
      </c>
    </row>
    <row r="32" spans="1:13" x14ac:dyDescent="0.3">
      <c r="A32" s="3" t="s">
        <v>82</v>
      </c>
      <c r="B32" s="3">
        <f>'Income Statement Year 2'!B25</f>
        <v>1004.152599999999</v>
      </c>
      <c r="C32" s="3">
        <f>'Income Statement Year 2'!C25</f>
        <v>2202.6109500000007</v>
      </c>
      <c r="D32" s="3">
        <f>'Income Statement Year 2'!D25</f>
        <v>2265.1514000000002</v>
      </c>
      <c r="E32" s="3">
        <f>'Income Statement Year 2'!E25</f>
        <v>1908.1157000000005</v>
      </c>
      <c r="F32" s="3">
        <f>'Income Statement Year 2'!F25</f>
        <v>1207.3561500000014</v>
      </c>
      <c r="G32" s="3">
        <f>'Income Statement Year 2'!G25</f>
        <v>646.31450000000063</v>
      </c>
      <c r="H32" s="3">
        <f>'Income Statement Year 2'!H25</f>
        <v>843.12520000000018</v>
      </c>
      <c r="I32" s="3">
        <f>'Income Statement Year 2'!I25</f>
        <v>1960.4680500000009</v>
      </c>
      <c r="J32" s="3">
        <f>'Income Statement Year 2'!J25</f>
        <v>1906.3681000000001</v>
      </c>
      <c r="K32" s="3">
        <f>'Income Statement Year 2'!K25</f>
        <v>2724.4574000000021</v>
      </c>
      <c r="L32" s="3">
        <f>'Income Statement Year 2'!L25</f>
        <v>2884.2930999999999</v>
      </c>
      <c r="M32" s="3">
        <f>'Income Statement Year 2'!M25</f>
        <v>2867.7121500000003</v>
      </c>
    </row>
    <row r="33" spans="1:13" x14ac:dyDescent="0.3">
      <c r="A33" s="3" t="s">
        <v>83</v>
      </c>
      <c r="B33" s="3">
        <f>B31-B32</f>
        <v>1089.2074000000016</v>
      </c>
      <c r="C33" s="3">
        <f t="shared" ref="C33:M33" si="1">C31-C32</f>
        <v>206.19605000000001</v>
      </c>
      <c r="D33" s="3">
        <f t="shared" si="1"/>
        <v>280.23260000000073</v>
      </c>
      <c r="E33" s="3">
        <f t="shared" si="1"/>
        <v>126.22629999999913</v>
      </c>
      <c r="F33" s="3">
        <f t="shared" si="1"/>
        <v>114.56284999999843</v>
      </c>
      <c r="G33" s="3">
        <f t="shared" si="1"/>
        <v>26.055500000000166</v>
      </c>
      <c r="H33" s="3">
        <f t="shared" si="1"/>
        <v>74.786800000000085</v>
      </c>
      <c r="I33" s="3">
        <f t="shared" si="1"/>
        <v>313.96495000000004</v>
      </c>
      <c r="J33" s="3">
        <f t="shared" si="1"/>
        <v>153.91789999999992</v>
      </c>
      <c r="K33" s="3">
        <f t="shared" si="1"/>
        <v>259.78659999999854</v>
      </c>
      <c r="L33" s="3">
        <f t="shared" si="1"/>
        <v>312.49290000000019</v>
      </c>
      <c r="M33" s="3">
        <f t="shared" si="1"/>
        <v>292.06684999999925</v>
      </c>
    </row>
    <row r="34" spans="1:13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</sheetData>
  <mergeCells count="1">
    <mergeCell ref="D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5F844-8BE4-4B76-B9CD-343E140062DE}">
  <dimension ref="A1:D13"/>
  <sheetViews>
    <sheetView workbookViewId="0">
      <selection sqref="A1:D1"/>
    </sheetView>
  </sheetViews>
  <sheetFormatPr defaultRowHeight="14.4" x14ac:dyDescent="0.3"/>
  <cols>
    <col min="1" max="1" width="44.44140625" bestFit="1" customWidth="1"/>
    <col min="3" max="3" width="21.33203125" bestFit="1" customWidth="1"/>
  </cols>
  <sheetData>
    <row r="1" spans="1:4" x14ac:dyDescent="0.3">
      <c r="A1" s="33" t="s">
        <v>104</v>
      </c>
      <c r="B1" s="33"/>
      <c r="C1" s="33"/>
      <c r="D1" s="33"/>
    </row>
    <row r="3" spans="1:4" x14ac:dyDescent="0.3">
      <c r="A3" s="34" t="s">
        <v>90</v>
      </c>
      <c r="B3" s="34" t="s">
        <v>91</v>
      </c>
      <c r="C3" s="34" t="s">
        <v>92</v>
      </c>
      <c r="D3" s="34" t="s">
        <v>91</v>
      </c>
    </row>
    <row r="4" spans="1:4" x14ac:dyDescent="0.3">
      <c r="A4" s="26" t="s">
        <v>93</v>
      </c>
      <c r="B4" s="26"/>
      <c r="C4" s="26" t="s">
        <v>92</v>
      </c>
      <c r="D4" s="3"/>
    </row>
    <row r="5" spans="1:4" x14ac:dyDescent="0.3">
      <c r="A5" s="3" t="s">
        <v>94</v>
      </c>
      <c r="B5" s="3">
        <v>3709.48</v>
      </c>
      <c r="C5" s="3" t="s">
        <v>99</v>
      </c>
      <c r="D5" s="3">
        <v>9000</v>
      </c>
    </row>
    <row r="6" spans="1:4" x14ac:dyDescent="0.3">
      <c r="A6" s="30" t="s">
        <v>74</v>
      </c>
      <c r="B6" s="3">
        <v>37024.118000000002</v>
      </c>
      <c r="C6" s="3"/>
      <c r="D6" s="3"/>
    </row>
    <row r="7" spans="1:4" x14ac:dyDescent="0.3">
      <c r="A7" s="32" t="s">
        <v>97</v>
      </c>
      <c r="B7" s="25">
        <f>B5+B6</f>
        <v>40733.598000000005</v>
      </c>
      <c r="C7" s="25" t="s">
        <v>100</v>
      </c>
      <c r="D7" s="25">
        <v>9000</v>
      </c>
    </row>
    <row r="8" spans="1:4" x14ac:dyDescent="0.3">
      <c r="A8" s="3"/>
      <c r="B8" s="3"/>
      <c r="C8" s="3"/>
      <c r="D8" s="3"/>
    </row>
    <row r="9" spans="1:4" x14ac:dyDescent="0.3">
      <c r="A9" s="3"/>
      <c r="B9" s="3"/>
      <c r="C9" s="26" t="s">
        <v>95</v>
      </c>
      <c r="D9" s="3"/>
    </row>
    <row r="10" spans="1:4" x14ac:dyDescent="0.3">
      <c r="A10" s="3"/>
      <c r="B10" s="3"/>
      <c r="C10" s="35" t="s">
        <v>102</v>
      </c>
      <c r="D10" s="35">
        <v>31733.599999999999</v>
      </c>
    </row>
    <row r="11" spans="1:4" x14ac:dyDescent="0.3">
      <c r="A11" s="3"/>
      <c r="B11" s="3"/>
      <c r="C11" s="3"/>
      <c r="D11" s="3"/>
    </row>
    <row r="12" spans="1:4" x14ac:dyDescent="0.3">
      <c r="A12" s="31" t="s">
        <v>98</v>
      </c>
      <c r="B12" s="25">
        <f>B7</f>
        <v>40733.598000000005</v>
      </c>
      <c r="C12" s="25" t="s">
        <v>101</v>
      </c>
      <c r="D12" s="25">
        <f>D7+D10</f>
        <v>40733.599999999999</v>
      </c>
    </row>
    <row r="13" spans="1:4" x14ac:dyDescent="0.3">
      <c r="A13" s="24"/>
      <c r="B13" s="24"/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1A17-3EFD-4CFF-A63E-65C0472AB835}">
  <dimension ref="A1:S25"/>
  <sheetViews>
    <sheetView workbookViewId="0">
      <selection activeCell="Q5" sqref="Q5"/>
    </sheetView>
  </sheetViews>
  <sheetFormatPr defaultRowHeight="14.4" x14ac:dyDescent="0.3"/>
  <cols>
    <col min="1" max="1" width="23.109375" bestFit="1" customWidth="1"/>
    <col min="14" max="14" width="11.6640625" bestFit="1" customWidth="1"/>
    <col min="18" max="18" width="8" bestFit="1" customWidth="1"/>
    <col min="19" max="19" width="18.88671875" bestFit="1" customWidth="1"/>
  </cols>
  <sheetData>
    <row r="1" spans="1:19" x14ac:dyDescent="0.3">
      <c r="E1" s="20" t="s">
        <v>66</v>
      </c>
      <c r="F1" s="20"/>
      <c r="G1" s="20"/>
    </row>
    <row r="3" spans="1:19" x14ac:dyDescent="0.3">
      <c r="A3" s="1" t="s">
        <v>0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1" t="s">
        <v>41</v>
      </c>
      <c r="Q3" s="1" t="s">
        <v>42</v>
      </c>
      <c r="R3" s="1" t="s">
        <v>43</v>
      </c>
      <c r="S3" s="1" t="s">
        <v>44</v>
      </c>
    </row>
    <row r="4" spans="1:19" x14ac:dyDescent="0.3">
      <c r="A4" s="7" t="s">
        <v>45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Q4" s="2">
        <v>159.99</v>
      </c>
      <c r="R4" s="2">
        <v>74.989999999999995</v>
      </c>
      <c r="S4" s="2">
        <v>69.989999999999995</v>
      </c>
    </row>
    <row r="5" spans="1:19" x14ac:dyDescent="0.3">
      <c r="A5" s="8" t="s">
        <v>46</v>
      </c>
      <c r="B5" s="3">
        <f>Q4*62</f>
        <v>9919.380000000001</v>
      </c>
      <c r="C5" s="3">
        <f>Q4*71</f>
        <v>11359.29</v>
      </c>
      <c r="D5" s="3">
        <f>Q4*75</f>
        <v>11999.25</v>
      </c>
      <c r="E5" s="3">
        <f>Q4*69</f>
        <v>11039.310000000001</v>
      </c>
      <c r="F5" s="3">
        <f>Q4*68</f>
        <v>10879.32</v>
      </c>
      <c r="G5" s="3">
        <f>Q4*65</f>
        <v>10399.35</v>
      </c>
      <c r="H5" s="3">
        <f>Q4*70</f>
        <v>11199.300000000001</v>
      </c>
      <c r="I5" s="3">
        <f>Q4*57</f>
        <v>9119.43</v>
      </c>
      <c r="J5" s="3">
        <f>Q4*70</f>
        <v>11199.300000000001</v>
      </c>
      <c r="K5" s="3">
        <f>Q4*73</f>
        <v>11679.27</v>
      </c>
      <c r="L5" s="3">
        <f>Q4*75</f>
        <v>11999.25</v>
      </c>
      <c r="M5" s="3">
        <f>Q4*73</f>
        <v>11679.27</v>
      </c>
      <c r="N5" s="3">
        <f>B5+C5+D5+E5+F5+G5+H5+I5+J5+K5+L5+M5</f>
        <v>132471.72</v>
      </c>
    </row>
    <row r="6" spans="1:19" x14ac:dyDescent="0.3">
      <c r="A6" s="8" t="s">
        <v>47</v>
      </c>
      <c r="B6" s="3">
        <f>R4*32</f>
        <v>2399.6799999999998</v>
      </c>
      <c r="C6" s="3">
        <f>R4*32</f>
        <v>2399.6799999999998</v>
      </c>
      <c r="D6" s="3">
        <f>R4*42</f>
        <v>3149.58</v>
      </c>
      <c r="E6" s="3">
        <f>R4*24</f>
        <v>1799.7599999999998</v>
      </c>
      <c r="F6" s="3">
        <f>R4*32</f>
        <v>2399.6799999999998</v>
      </c>
      <c r="G6" s="3">
        <f>R4*21</f>
        <v>1574.79</v>
      </c>
      <c r="H6" s="3">
        <f>R4*41</f>
        <v>3074.5899999999997</v>
      </c>
      <c r="I6" s="3">
        <f>R4*29</f>
        <v>2174.71</v>
      </c>
      <c r="J6" s="3">
        <f>R4*40</f>
        <v>2999.6</v>
      </c>
      <c r="K6" s="3">
        <f>R4*42</f>
        <v>3149.58</v>
      </c>
      <c r="L6" s="3">
        <f>R4*23</f>
        <v>1724.77</v>
      </c>
      <c r="M6" s="3">
        <f>R4*23</f>
        <v>1724.77</v>
      </c>
      <c r="N6" s="3">
        <f>B6+C6+D6+E6+F6+G6+H6+I6+J6+K6+L6+M6</f>
        <v>28571.189999999995</v>
      </c>
    </row>
    <row r="7" spans="1:19" x14ac:dyDescent="0.3">
      <c r="A7" s="8" t="s">
        <v>48</v>
      </c>
      <c r="B7" s="3">
        <f>S4*28</f>
        <v>1959.7199999999998</v>
      </c>
      <c r="C7" s="3">
        <f>S4*28</f>
        <v>1959.7199999999998</v>
      </c>
      <c r="D7" s="3">
        <f>S4*28</f>
        <v>1959.7199999999998</v>
      </c>
      <c r="E7" s="3">
        <f>S4*29</f>
        <v>2029.7099999999998</v>
      </c>
      <c r="F7" s="3">
        <f>S4*24</f>
        <v>1679.7599999999998</v>
      </c>
      <c r="G7" s="3">
        <f>S4*42</f>
        <v>2939.58</v>
      </c>
      <c r="H7" s="3">
        <f>S4*39</f>
        <v>2729.6099999999997</v>
      </c>
      <c r="I7" s="3">
        <f>S4*33</f>
        <v>2309.6699999999996</v>
      </c>
      <c r="J7" s="3">
        <f>S4*32</f>
        <v>2239.6799999999998</v>
      </c>
      <c r="K7" s="3">
        <f>S4*33</f>
        <v>2309.6699999999996</v>
      </c>
      <c r="L7" s="3">
        <f>S4*20</f>
        <v>1399.8</v>
      </c>
      <c r="M7" s="3">
        <f>S4*20</f>
        <v>1399.8</v>
      </c>
      <c r="N7" s="3">
        <f>B7+C7+D7+E7+F7+G7+H7+I7+J7+K7+L7+M7</f>
        <v>24916.439999999995</v>
      </c>
    </row>
    <row r="8" spans="1:19" x14ac:dyDescent="0.3">
      <c r="A8" s="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9" s="4" customFormat="1" x14ac:dyDescent="0.3">
      <c r="A9" s="9" t="s">
        <v>49</v>
      </c>
      <c r="B9" s="5">
        <f t="shared" ref="B9:N9" si="0">SUM(B5:B7)</f>
        <v>14278.78</v>
      </c>
      <c r="C9" s="5">
        <f t="shared" si="0"/>
        <v>15718.69</v>
      </c>
      <c r="D9" s="5">
        <f t="shared" si="0"/>
        <v>17108.55</v>
      </c>
      <c r="E9" s="5">
        <f t="shared" si="0"/>
        <v>14868.78</v>
      </c>
      <c r="F9" s="5">
        <f t="shared" si="0"/>
        <v>14958.76</v>
      </c>
      <c r="G9" s="5">
        <f t="shared" si="0"/>
        <v>14913.72</v>
      </c>
      <c r="H9" s="5">
        <f t="shared" si="0"/>
        <v>17003.5</v>
      </c>
      <c r="I9" s="5">
        <f t="shared" si="0"/>
        <v>13603.81</v>
      </c>
      <c r="J9" s="5">
        <f t="shared" si="0"/>
        <v>16438.580000000002</v>
      </c>
      <c r="K9" s="5">
        <f t="shared" si="0"/>
        <v>17138.52</v>
      </c>
      <c r="L9" s="5">
        <f t="shared" si="0"/>
        <v>15123.82</v>
      </c>
      <c r="M9" s="5">
        <f t="shared" si="0"/>
        <v>14803.84</v>
      </c>
      <c r="N9" s="5">
        <f t="shared" si="0"/>
        <v>185959.35</v>
      </c>
    </row>
    <row r="10" spans="1:19" x14ac:dyDescent="0.3">
      <c r="A10" s="10" t="s">
        <v>50</v>
      </c>
      <c r="B10" s="3">
        <f t="shared" ref="B10:N10" si="1">B9*30%</f>
        <v>4283.634</v>
      </c>
      <c r="C10" s="3">
        <f t="shared" si="1"/>
        <v>4715.607</v>
      </c>
      <c r="D10" s="3">
        <f t="shared" si="1"/>
        <v>5132.5649999999996</v>
      </c>
      <c r="E10" s="3">
        <f t="shared" si="1"/>
        <v>4460.634</v>
      </c>
      <c r="F10" s="3">
        <f t="shared" si="1"/>
        <v>4487.6279999999997</v>
      </c>
      <c r="G10" s="3">
        <f t="shared" si="1"/>
        <v>4474.116</v>
      </c>
      <c r="H10" s="3">
        <f t="shared" si="1"/>
        <v>5101.05</v>
      </c>
      <c r="I10" s="3">
        <f t="shared" si="1"/>
        <v>4081.1429999999996</v>
      </c>
      <c r="J10" s="3">
        <f t="shared" si="1"/>
        <v>4931.5740000000005</v>
      </c>
      <c r="K10" s="3">
        <f t="shared" si="1"/>
        <v>5141.5559999999996</v>
      </c>
      <c r="L10" s="3">
        <f t="shared" si="1"/>
        <v>4537.1459999999997</v>
      </c>
      <c r="M10" s="3">
        <f t="shared" si="1"/>
        <v>4441.152</v>
      </c>
      <c r="N10" s="3">
        <f t="shared" si="1"/>
        <v>55787.805</v>
      </c>
    </row>
    <row r="11" spans="1:19" x14ac:dyDescent="0.3">
      <c r="A11" s="1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9" s="4" customFormat="1" x14ac:dyDescent="0.3">
      <c r="A12" s="9" t="s">
        <v>51</v>
      </c>
      <c r="B12" s="5">
        <f t="shared" ref="B12:N12" si="2">B9-B10</f>
        <v>9995.1460000000006</v>
      </c>
      <c r="C12" s="5">
        <f t="shared" si="2"/>
        <v>11003.083000000001</v>
      </c>
      <c r="D12" s="5">
        <f t="shared" si="2"/>
        <v>11975.985000000001</v>
      </c>
      <c r="E12" s="5">
        <f t="shared" si="2"/>
        <v>10408.146000000001</v>
      </c>
      <c r="F12" s="5">
        <f t="shared" si="2"/>
        <v>10471.132000000001</v>
      </c>
      <c r="G12" s="5">
        <f t="shared" si="2"/>
        <v>10439.603999999999</v>
      </c>
      <c r="H12" s="5">
        <f t="shared" si="2"/>
        <v>11902.45</v>
      </c>
      <c r="I12" s="5">
        <f t="shared" si="2"/>
        <v>9522.6669999999995</v>
      </c>
      <c r="J12" s="5">
        <f t="shared" si="2"/>
        <v>11507.006000000001</v>
      </c>
      <c r="K12" s="5">
        <f t="shared" si="2"/>
        <v>11996.964</v>
      </c>
      <c r="L12" s="5">
        <f t="shared" si="2"/>
        <v>10586.673999999999</v>
      </c>
      <c r="M12" s="5">
        <f t="shared" si="2"/>
        <v>10362.688</v>
      </c>
      <c r="N12" s="5">
        <f t="shared" si="2"/>
        <v>130171.54500000001</v>
      </c>
    </row>
    <row r="13" spans="1:19" x14ac:dyDescent="0.3">
      <c r="A13" s="8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9" x14ac:dyDescent="0.3">
      <c r="A14" s="10" t="s">
        <v>52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9" x14ac:dyDescent="0.3">
      <c r="A15" s="8" t="s">
        <v>53</v>
      </c>
      <c r="B15" s="3">
        <v>375</v>
      </c>
      <c r="C15" s="3">
        <v>375</v>
      </c>
      <c r="D15" s="3">
        <v>375</v>
      </c>
      <c r="E15" s="3">
        <v>375</v>
      </c>
      <c r="F15" s="3">
        <v>375</v>
      </c>
      <c r="G15" s="3">
        <v>375</v>
      </c>
      <c r="H15" s="3">
        <v>375</v>
      </c>
      <c r="I15" s="3">
        <v>375</v>
      </c>
      <c r="J15" s="3">
        <v>375</v>
      </c>
      <c r="K15" s="3">
        <v>375</v>
      </c>
      <c r="L15" s="3">
        <v>375</v>
      </c>
      <c r="M15" s="3">
        <v>375</v>
      </c>
      <c r="N15" s="3">
        <f>B15+C15+D15+E15+F15+G15+H15+I15+J15+K15+L15+M15</f>
        <v>4500</v>
      </c>
    </row>
    <row r="16" spans="1:19" x14ac:dyDescent="0.3">
      <c r="A16" s="8" t="s">
        <v>54</v>
      </c>
      <c r="B16" s="3">
        <v>1000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f>B16+C16+D16+E16+F16+G16+H16+I16+J16+K16+L16+M16</f>
        <v>1000</v>
      </c>
    </row>
    <row r="17" spans="1:14" x14ac:dyDescent="0.3">
      <c r="A17" s="8" t="s">
        <v>55</v>
      </c>
      <c r="B17" s="3">
        <v>500</v>
      </c>
      <c r="C17" s="3">
        <v>500</v>
      </c>
      <c r="D17" s="3">
        <v>500</v>
      </c>
      <c r="E17" s="3">
        <v>500</v>
      </c>
      <c r="F17" s="3">
        <v>500</v>
      </c>
      <c r="G17" s="3">
        <v>500</v>
      </c>
      <c r="H17" s="3">
        <v>500</v>
      </c>
      <c r="I17" s="3">
        <v>500</v>
      </c>
      <c r="J17" s="3">
        <v>500</v>
      </c>
      <c r="K17" s="3">
        <v>500</v>
      </c>
      <c r="L17" s="3">
        <v>500</v>
      </c>
      <c r="M17" s="3">
        <v>500</v>
      </c>
      <c r="N17" s="3">
        <f>B17+C17+D17+E17+F17+G17+H17+I17+J17+K17+L17+M17</f>
        <v>6000</v>
      </c>
    </row>
    <row r="18" spans="1:14" x14ac:dyDescent="0.3">
      <c r="A18" s="8" t="s">
        <v>56</v>
      </c>
      <c r="B18" s="3">
        <v>3500</v>
      </c>
      <c r="C18" s="3">
        <v>2500</v>
      </c>
      <c r="D18" s="3">
        <v>3900</v>
      </c>
      <c r="E18" s="3">
        <v>3745</v>
      </c>
      <c r="F18" s="3">
        <v>4225</v>
      </c>
      <c r="G18" s="3">
        <v>4175</v>
      </c>
      <c r="H18" s="3">
        <v>4560</v>
      </c>
      <c r="I18" s="3">
        <v>3265</v>
      </c>
      <c r="J18" s="3">
        <v>4450</v>
      </c>
      <c r="K18" s="3">
        <v>4300</v>
      </c>
      <c r="L18" s="3">
        <v>4100</v>
      </c>
      <c r="M18" s="3">
        <v>4025</v>
      </c>
      <c r="N18" s="3">
        <f>B18+C18+D18+E18+F18+G18+H18+I18+J18+K18+L18+M18</f>
        <v>46745</v>
      </c>
    </row>
    <row r="19" spans="1:14" x14ac:dyDescent="0.3">
      <c r="A19" s="10" t="s">
        <v>57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3">
      <c r="A20" s="8" t="s">
        <v>58</v>
      </c>
      <c r="B20" s="3">
        <f>'Funding Sources'!B3*1.5%</f>
        <v>750</v>
      </c>
      <c r="C20" s="3">
        <f>'Funding Sources'!B3*1.5%</f>
        <v>750</v>
      </c>
      <c r="D20" s="3">
        <f>'Funding Sources'!B3*1.5%</f>
        <v>750</v>
      </c>
      <c r="E20" s="3">
        <f>'Funding Sources'!B3*1.5%</f>
        <v>750</v>
      </c>
      <c r="F20" s="3">
        <f>'Funding Sources'!B3*1.5%</f>
        <v>750</v>
      </c>
      <c r="G20" s="3">
        <f>'Funding Sources'!B3*1.5%</f>
        <v>750</v>
      </c>
      <c r="H20" s="3">
        <f>'Funding Sources'!B3*1.5%</f>
        <v>750</v>
      </c>
      <c r="I20" s="3">
        <f>'Funding Sources'!B3*1.5%</f>
        <v>750</v>
      </c>
      <c r="J20" s="3">
        <f>'Funding Sources'!B3*1.5%</f>
        <v>750</v>
      </c>
      <c r="K20" s="3">
        <f>'Funding Sources'!B3*1.5%</f>
        <v>750</v>
      </c>
      <c r="L20" s="3">
        <f>'Funding Sources'!B3*1.5%</f>
        <v>750</v>
      </c>
      <c r="M20" s="3">
        <f>'Funding Sources'!B3*1.5%</f>
        <v>750</v>
      </c>
      <c r="N20" s="3">
        <f>B20+C20+D20+E20+F20+G20+H20+I20+J20+K20+L20+M20</f>
        <v>9000</v>
      </c>
    </row>
    <row r="21" spans="1:14" x14ac:dyDescent="0.3">
      <c r="A21" s="10" t="s">
        <v>62</v>
      </c>
      <c r="B21" s="3">
        <f t="shared" ref="B21:M21" si="3">SUM(B15:B20)</f>
        <v>6125</v>
      </c>
      <c r="C21" s="3">
        <f t="shared" si="3"/>
        <v>4125</v>
      </c>
      <c r="D21" s="3">
        <f t="shared" si="3"/>
        <v>5525</v>
      </c>
      <c r="E21" s="3">
        <f t="shared" si="3"/>
        <v>5370</v>
      </c>
      <c r="F21" s="3">
        <f t="shared" si="3"/>
        <v>5850</v>
      </c>
      <c r="G21" s="3">
        <f t="shared" si="3"/>
        <v>5800</v>
      </c>
      <c r="H21" s="3">
        <f t="shared" si="3"/>
        <v>6185</v>
      </c>
      <c r="I21" s="3">
        <f t="shared" si="3"/>
        <v>4890</v>
      </c>
      <c r="J21" s="3">
        <f t="shared" si="3"/>
        <v>6075</v>
      </c>
      <c r="K21" s="3">
        <f t="shared" si="3"/>
        <v>5925</v>
      </c>
      <c r="L21" s="3">
        <f t="shared" si="3"/>
        <v>5725</v>
      </c>
      <c r="M21" s="3">
        <f t="shared" si="3"/>
        <v>5650</v>
      </c>
      <c r="N21" s="3">
        <f>B21+C21+D21+E21+F21+G21+H21+I21+J21+K21+L21+M21</f>
        <v>67245</v>
      </c>
    </row>
    <row r="22" spans="1:14" x14ac:dyDescent="0.3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3">
      <c r="A23" s="10" t="s">
        <v>59</v>
      </c>
      <c r="B23" s="3">
        <f t="shared" ref="B23:M23" si="4">B12-B21</f>
        <v>3870.1460000000006</v>
      </c>
      <c r="C23" s="3">
        <f t="shared" si="4"/>
        <v>6878.0830000000005</v>
      </c>
      <c r="D23" s="3">
        <f t="shared" si="4"/>
        <v>6450.9850000000006</v>
      </c>
      <c r="E23" s="3">
        <f t="shared" si="4"/>
        <v>5038.1460000000006</v>
      </c>
      <c r="F23" s="3">
        <f t="shared" si="4"/>
        <v>4621.1320000000014</v>
      </c>
      <c r="G23" s="3">
        <f t="shared" si="4"/>
        <v>4639.6039999999994</v>
      </c>
      <c r="H23" s="3">
        <f t="shared" si="4"/>
        <v>5717.4500000000007</v>
      </c>
      <c r="I23" s="3">
        <f t="shared" si="4"/>
        <v>4632.6669999999995</v>
      </c>
      <c r="J23" s="3">
        <f t="shared" si="4"/>
        <v>5432.0060000000012</v>
      </c>
      <c r="K23" s="3">
        <f t="shared" si="4"/>
        <v>6071.9639999999999</v>
      </c>
      <c r="L23" s="3">
        <f t="shared" si="4"/>
        <v>4861.6739999999991</v>
      </c>
      <c r="M23" s="3">
        <f t="shared" si="4"/>
        <v>4712.6880000000001</v>
      </c>
      <c r="N23" s="3">
        <f>B23+C23+D23+E23+F23+G23+H23+I23+J23+K23+L23+M23</f>
        <v>62926.545000000006</v>
      </c>
    </row>
    <row r="24" spans="1:14" ht="15" thickBot="1" x14ac:dyDescent="0.35">
      <c r="A24" s="11" t="s">
        <v>60</v>
      </c>
      <c r="B24" s="12">
        <f t="shared" ref="B24:M24" si="5">B23*15%</f>
        <v>580.52190000000007</v>
      </c>
      <c r="C24" s="12">
        <f t="shared" si="5"/>
        <v>1031.71245</v>
      </c>
      <c r="D24" s="12">
        <f t="shared" si="5"/>
        <v>967.64775000000009</v>
      </c>
      <c r="E24" s="12">
        <f t="shared" si="5"/>
        <v>755.72190000000012</v>
      </c>
      <c r="F24" s="12">
        <f t="shared" si="5"/>
        <v>693.16980000000024</v>
      </c>
      <c r="G24" s="12">
        <f t="shared" si="5"/>
        <v>695.9405999999999</v>
      </c>
      <c r="H24" s="12">
        <f t="shared" si="5"/>
        <v>857.61750000000006</v>
      </c>
      <c r="I24" s="12">
        <f t="shared" si="5"/>
        <v>694.90004999999985</v>
      </c>
      <c r="J24" s="12">
        <f t="shared" si="5"/>
        <v>814.80090000000018</v>
      </c>
      <c r="K24" s="12">
        <f t="shared" si="5"/>
        <v>910.79459999999995</v>
      </c>
      <c r="L24" s="12">
        <f t="shared" si="5"/>
        <v>729.25109999999984</v>
      </c>
      <c r="M24" s="12">
        <f t="shared" si="5"/>
        <v>706.90319999999997</v>
      </c>
      <c r="N24" s="12">
        <f>B24+C24+D24+E24+F24+G24+H24+I24+J24+K24+L24+M24</f>
        <v>9438.9817500000026</v>
      </c>
    </row>
    <row r="25" spans="1:14" ht="15" thickBot="1" x14ac:dyDescent="0.35">
      <c r="A25" s="13" t="s">
        <v>61</v>
      </c>
      <c r="B25" s="14">
        <f t="shared" ref="B25:M25" si="6">B23-B24</f>
        <v>3289.6241000000005</v>
      </c>
      <c r="C25" s="14">
        <f t="shared" si="6"/>
        <v>5846.3705500000005</v>
      </c>
      <c r="D25" s="14">
        <f t="shared" si="6"/>
        <v>5483.3372500000005</v>
      </c>
      <c r="E25" s="14">
        <f t="shared" si="6"/>
        <v>4282.4241000000002</v>
      </c>
      <c r="F25" s="14">
        <f t="shared" si="6"/>
        <v>3927.9622000000013</v>
      </c>
      <c r="G25" s="14">
        <f t="shared" si="6"/>
        <v>3943.6633999999995</v>
      </c>
      <c r="H25" s="14">
        <f t="shared" si="6"/>
        <v>4859.8325000000004</v>
      </c>
      <c r="I25" s="14">
        <f t="shared" si="6"/>
        <v>3937.7669499999997</v>
      </c>
      <c r="J25" s="14">
        <f t="shared" si="6"/>
        <v>4617.205100000001</v>
      </c>
      <c r="K25" s="14">
        <f t="shared" si="6"/>
        <v>5161.1693999999998</v>
      </c>
      <c r="L25" s="14">
        <f t="shared" si="6"/>
        <v>4132.4228999999996</v>
      </c>
      <c r="M25" s="14">
        <f t="shared" si="6"/>
        <v>4005.7848000000004</v>
      </c>
      <c r="N25" s="15">
        <f>B25+C25+D25+E25+F25+G25+H25+I25+J25+K25+L25+M25</f>
        <v>53487.563249999999</v>
      </c>
    </row>
  </sheetData>
  <mergeCells count="1"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Startup Costs</vt:lpstr>
      <vt:lpstr>Funding Sources</vt:lpstr>
      <vt:lpstr>Income Statement Year 1</vt:lpstr>
      <vt:lpstr>Cash Flow Year 1</vt:lpstr>
      <vt:lpstr>Balance Sheet year 1</vt:lpstr>
      <vt:lpstr>Income Statement Year 2</vt:lpstr>
      <vt:lpstr>Cash Flow Year 2</vt:lpstr>
      <vt:lpstr>Balance Sheet year 2</vt:lpstr>
      <vt:lpstr>Income Statement Year 3</vt:lpstr>
      <vt:lpstr>Cash Flow Year 3</vt:lpstr>
      <vt:lpstr>Balance Sheet year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Paman Sandhu</dc:creator>
  <cp:lastModifiedBy>pamandeep kaur</cp:lastModifiedBy>
  <dcterms:created xsi:type="dcterms:W3CDTF">2025-03-03T19:05:31Z</dcterms:created>
  <dcterms:modified xsi:type="dcterms:W3CDTF">2025-03-17T07:29:05Z</dcterms:modified>
</cp:coreProperties>
</file>